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Нов.распред." sheetId="1" r:id="rId1"/>
    <sheet name="Распределен" sheetId="2" r:id="rId2"/>
    <sheet name="Субсидии" sheetId="3" r:id="rId3"/>
    <sheet name="Лист" sheetId="4" r:id="rId4"/>
  </sheets>
  <definedNames>
    <definedName name="_xlnm.Print_Titles" localSheetId="3">'Лист'!$4:$5</definedName>
    <definedName name="_xlnm.Print_Titles" localSheetId="1">'Распределен'!$4:$4</definedName>
  </definedNames>
  <calcPr fullCalcOnLoad="1"/>
</workbook>
</file>

<file path=xl/sharedStrings.xml><?xml version="1.0" encoding="utf-8"?>
<sst xmlns="http://schemas.openxmlformats.org/spreadsheetml/2006/main" count="795" uniqueCount="599">
  <si>
    <t>28/351</t>
  </si>
  <si>
    <t>91/670</t>
  </si>
  <si>
    <t>56/675</t>
  </si>
  <si>
    <t>28/324</t>
  </si>
  <si>
    <t>42/560</t>
  </si>
  <si>
    <t>20/269</t>
  </si>
  <si>
    <t>26/125</t>
  </si>
  <si>
    <t>8/74</t>
  </si>
  <si>
    <t>50/323</t>
  </si>
  <si>
    <t>9/74</t>
  </si>
  <si>
    <t>8/125,7</t>
  </si>
  <si>
    <t>МР "Мещовский р-он"</t>
  </si>
  <si>
    <t>МР "Юхновский р-он"</t>
  </si>
  <si>
    <t>МР "г. Спас-Деменск"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</si>
  <si>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</si>
  <si>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</si>
  <si>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</si>
  <si>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</si>
  <si>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</si>
  <si>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</si>
  <si>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</si>
  <si>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</si>
  <si>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</si>
  <si>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</si>
  <si>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</si>
  <si>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</si>
  <si>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</si>
  <si>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</si>
  <si>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</si>
  <si>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</si>
  <si>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</si>
  <si>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</si>
  <si>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</si>
  <si>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</si>
  <si>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</si>
  <si>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</si>
  <si>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</si>
  <si>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</si>
  <si>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</si>
  <si>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</si>
  <si>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19.2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</si>
  <si>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</si>
  <si>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</si>
  <si>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</si>
  <si>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</si>
  <si>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</si>
  <si>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</si>
  <si>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</si>
  <si>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</si>
  <si>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</si>
  <si>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</si>
  <si>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</si>
  <si>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</si>
  <si>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</si>
  <si>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</si>
  <si>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</si>
  <si>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</si>
  <si>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</si>
  <si>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</si>
  <si>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</si>
  <si>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</si>
  <si>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</si>
  <si>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</si>
  <si>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</si>
  <si>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</si>
  <si>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</si>
  <si>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</si>
  <si>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</si>
  <si>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</si>
  <si>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</si>
  <si>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21.1</t>
  </si>
  <si>
    <t>21.3</t>
  </si>
  <si>
    <t>21.4</t>
  </si>
  <si>
    <t>21.5</t>
  </si>
  <si>
    <t>21.6</t>
  </si>
  <si>
    <t>21.7</t>
  </si>
  <si>
    <t>21.8</t>
  </si>
  <si>
    <t>21.9</t>
  </si>
  <si>
    <t>22.1</t>
  </si>
  <si>
    <t>22.2</t>
  </si>
  <si>
    <t>22.3</t>
  </si>
  <si>
    <t>22.4</t>
  </si>
  <si>
    <t>22.5</t>
  </si>
  <si>
    <t>22.6</t>
  </si>
  <si>
    <t>22.7</t>
  </si>
  <si>
    <t xml:space="preserve"> ГП МО  г. Малоярославец</t>
  </si>
  <si>
    <t>МР "Жуковский р-он"</t>
  </si>
  <si>
    <t>МР "Козельский р-он"</t>
  </si>
  <si>
    <t>1/12</t>
  </si>
  <si>
    <t>9/44</t>
  </si>
  <si>
    <t>8/54</t>
  </si>
  <si>
    <t>47/257</t>
  </si>
  <si>
    <t>146/1101</t>
  </si>
  <si>
    <t>МР "Боровский р-он"</t>
  </si>
  <si>
    <t>МР "Барятинский р-он"</t>
  </si>
  <si>
    <t>11/71</t>
  </si>
  <si>
    <t>5/272</t>
  </si>
  <si>
    <t>11/766</t>
  </si>
  <si>
    <t>6/494</t>
  </si>
  <si>
    <t>21/352</t>
  </si>
  <si>
    <t>5/100</t>
  </si>
  <si>
    <t>6/72</t>
  </si>
  <si>
    <t>1/184</t>
  </si>
  <si>
    <t>10/120</t>
  </si>
  <si>
    <t>6/260</t>
  </si>
  <si>
    <t>7/84</t>
  </si>
  <si>
    <t>2/50</t>
  </si>
  <si>
    <t>1/18</t>
  </si>
  <si>
    <t>13/156</t>
  </si>
  <si>
    <t>39/468</t>
  </si>
  <si>
    <t>1/26</t>
  </si>
  <si>
    <t>46/358</t>
  </si>
  <si>
    <t>3/129</t>
  </si>
  <si>
    <t>СП "Село Барятино"</t>
  </si>
  <si>
    <t>СП "Село Волковское"</t>
  </si>
  <si>
    <t>СП "Мело Вознесенье"</t>
  </si>
  <si>
    <t>СП "Село Кузьмищево"</t>
  </si>
  <si>
    <t>СП "Село Лопатино"</t>
  </si>
  <si>
    <t>СП "Село Некрасово"</t>
  </si>
  <si>
    <t>СП "Село Похвистнево"</t>
  </si>
  <si>
    <t>Субсидии МДХ</t>
  </si>
  <si>
    <t>Субсидии из муниципал. бюджета</t>
  </si>
  <si>
    <t>Субсидии итого тыс.руб в т.ч.-</t>
  </si>
  <si>
    <t>Ремонт а/д СП "Село Милево"</t>
  </si>
  <si>
    <t>Наименование выполняемых работ</t>
  </si>
  <si>
    <t>Ремонт а/д СП "Село Еленский"</t>
  </si>
  <si>
    <t>Ремонт а/д СП "Деревня Стайки"</t>
  </si>
  <si>
    <t>Освоение капитальных вложений по Муниципальным образованиям хза 2008г.</t>
  </si>
  <si>
    <t>Ремонт а/д СП "Село Колодяссы"</t>
  </si>
  <si>
    <t>Ремонт а/д СП "Село Воткино"</t>
  </si>
  <si>
    <t>Ремонт а/д СП "Село Хвастовичи"</t>
  </si>
  <si>
    <t>Ремонт а/д СП "Село Слобода"</t>
  </si>
  <si>
    <t>Ремонт а/д СП "Село Пеневичи"</t>
  </si>
  <si>
    <t>Ремонт а/д СП "Деревня Нехочи"</t>
  </si>
  <si>
    <t>Ремонт а/д СП "Деревня Кудрявец"</t>
  </si>
  <si>
    <t>Ремонт а/д СП "Село Красное"</t>
  </si>
  <si>
    <t>Ремонт а/д СП "Село Подбужье"</t>
  </si>
  <si>
    <t>Ремонт а/д СП "Село Бояновичи"</t>
  </si>
  <si>
    <t>Ремонт а/д СП "Село Авдеевка"</t>
  </si>
  <si>
    <t>Ремонт а/д по ул.Митрофанова в г. Медыни</t>
  </si>
  <si>
    <t>Ремонт а/д по ул.Садовая в г. Медыни</t>
  </si>
  <si>
    <t>Ремонт а/д по ул.Калинина в г. Медыни</t>
  </si>
  <si>
    <t>Ремонт а/д по ул.Колхозная в г. Медыни</t>
  </si>
  <si>
    <t>Ремонт а/д по ул.Мира в г. Медыни</t>
  </si>
  <si>
    <t>Ремонт а/д "Сухиничи-Беликово"</t>
  </si>
  <si>
    <t>Ремонт а/д "Сухиничи-Белилово"</t>
  </si>
  <si>
    <t>Ремонт а/д "Брынь-Охотное"</t>
  </si>
  <si>
    <t>Ремонт а/д "М-3 Украина-Глазково-Юрьево-Хватово"</t>
  </si>
  <si>
    <t>1/10</t>
  </si>
  <si>
    <t>Протяж-ть  труб и искуст. сооруж. Шт/пм</t>
  </si>
  <si>
    <t>3/32</t>
  </si>
  <si>
    <t>8/120</t>
  </si>
  <si>
    <t>12/162</t>
  </si>
  <si>
    <t>9/176,7</t>
  </si>
  <si>
    <t>Рачет распределения субсидий на ремонт дорожной и уличной сети в 2008-2010г.</t>
  </si>
  <si>
    <t>г. Калуга</t>
  </si>
  <si>
    <t>2008г.</t>
  </si>
  <si>
    <t>2009г.</t>
  </si>
  <si>
    <t>2010г.</t>
  </si>
  <si>
    <t>тыс.руб</t>
  </si>
  <si>
    <t>Численность насе-ления             ( чел.)</t>
  </si>
  <si>
    <t>ОБ</t>
  </si>
  <si>
    <t>ФБ</t>
  </si>
  <si>
    <t>11092</t>
  </si>
  <si>
    <t>м2</t>
  </si>
  <si>
    <t>19200</t>
  </si>
  <si>
    <t>48917</t>
  </si>
  <si>
    <t>2/16</t>
  </si>
  <si>
    <t>10/133</t>
  </si>
  <si>
    <t>3/20</t>
  </si>
  <si>
    <t>2/60</t>
  </si>
  <si>
    <t>1/15</t>
  </si>
  <si>
    <t>12/158</t>
  </si>
  <si>
    <t>Подтверждено отчетом     3-ДГ</t>
  </si>
  <si>
    <t>1/8</t>
  </si>
  <si>
    <t>МО СП Поселок Дугна</t>
  </si>
  <si>
    <t>МО СП Бебелевский сельсовет</t>
  </si>
  <si>
    <t>МО СП Октябрьский сельсовет</t>
  </si>
  <si>
    <t>МО СП Село Авчурино</t>
  </si>
  <si>
    <t>МО СП Деревня Аристово</t>
  </si>
  <si>
    <t>МО СП Деревня Бронцы</t>
  </si>
  <si>
    <t>МО СП Село Грабцево</t>
  </si>
  <si>
    <t>МО СП Деревня Зудна</t>
  </si>
  <si>
    <t>МО СП Село Кольцово</t>
  </si>
  <si>
    <t>МО СП Деревня Красный Городок</t>
  </si>
  <si>
    <t>МО СП Село Сашкино</t>
  </si>
  <si>
    <t>МО СП Деревня Сугоново</t>
  </si>
  <si>
    <t>МО СП Деревня Ферзиково</t>
  </si>
  <si>
    <t>МО СП Деревня Ястребовка</t>
  </si>
  <si>
    <t>МО СП Поселок Еленский</t>
  </si>
  <si>
    <t>МО СП Деревня Авдеевка</t>
  </si>
  <si>
    <t>МО СП Село Бояновичи</t>
  </si>
  <si>
    <t xml:space="preserve">МО СП Село Воткино </t>
  </si>
  <si>
    <t>МО СП Село Клен</t>
  </si>
  <si>
    <t>МО СП Село Колодяссы</t>
  </si>
  <si>
    <t>МО СП Село Красное</t>
  </si>
  <si>
    <t>МО СП Село Кудрявец</t>
  </si>
  <si>
    <t>МО СП Село Ловать</t>
  </si>
  <si>
    <t>МО СП Село Милеево</t>
  </si>
  <si>
    <t>МО СП Село Нехочи</t>
  </si>
  <si>
    <t>МО СП Село Перевичи</t>
  </si>
  <si>
    <t>МО СП Село Подбужье</t>
  </si>
  <si>
    <t>МО СП Село Слобода</t>
  </si>
  <si>
    <t>МО СП Деревня Стайки</t>
  </si>
  <si>
    <t>МО СП Село Хвастовичи</t>
  </si>
  <si>
    <t>МО СП Село Дудоровский</t>
  </si>
  <si>
    <t>МО СП Село Волосово-Дудино</t>
  </si>
  <si>
    <t>МО СП Село Заречье</t>
  </si>
  <si>
    <t>МО СП Деревня Заречье</t>
  </si>
  <si>
    <t>МО СП Деревня Мелихово</t>
  </si>
  <si>
    <t>МО СП Село Поздняково</t>
  </si>
  <si>
    <t>МО СП Село Ульяново</t>
  </si>
  <si>
    <t>ГП город Юхнов</t>
  </si>
  <si>
    <t>МО СП Деревня Беляево</t>
  </si>
  <si>
    <t>МО СП Деревня Емельяновка</t>
  </si>
  <si>
    <t>МО СП Село Климов завод</t>
  </si>
  <si>
    <t>МО СП Деревня Озеро</t>
  </si>
  <si>
    <t>МО СП Деревня Рыляки</t>
  </si>
  <si>
    <t>МО СП Деревня Колыхманово</t>
  </si>
  <si>
    <t>МО СП Деревня Плоское</t>
  </si>
  <si>
    <t>МО СП Деревня Порослицы</t>
  </si>
  <si>
    <t>МО СП Деревня Куркино</t>
  </si>
  <si>
    <t>МО СП Деревня Чемоданово</t>
  </si>
  <si>
    <t>МО СП Деревня Упрямово</t>
  </si>
  <si>
    <t>МО СП Село Щелканово</t>
  </si>
  <si>
    <t>А/д общего значения г. Калуга</t>
  </si>
  <si>
    <t>МО СП Село Буднянский</t>
  </si>
  <si>
    <t>Мо СП Деревня Болва</t>
  </si>
  <si>
    <t>МО СП Село Лазинки</t>
  </si>
  <si>
    <t>МО СП Село Любунь</t>
  </si>
  <si>
    <t>МО СП Деревня Нестеры</t>
  </si>
  <si>
    <t>МО СП Хутор Новоалександровский</t>
  </si>
  <si>
    <t>МО СП Село Павлиново</t>
  </si>
  <si>
    <t>МО СП Деревня Теплово</t>
  </si>
  <si>
    <t>МО СП Деревня Понизовье</t>
  </si>
  <si>
    <t>МО СП Деревня Снопот</t>
  </si>
  <si>
    <t>МО СП Село Чипляево</t>
  </si>
  <si>
    <t>МО СП село "Передел"</t>
  </si>
  <si>
    <t>МО СП деревня Михеево"</t>
  </si>
  <si>
    <t>МО СП деревня Брюхово"</t>
  </si>
  <si>
    <t>МО СП село "Кременское"</t>
  </si>
  <si>
    <t>МО СП село "Раманово"</t>
  </si>
  <si>
    <t>МО СП село "Адуево"</t>
  </si>
  <si>
    <t>МО СП село "Глухово"</t>
  </si>
  <si>
    <t>МО СП село "Гусево"</t>
  </si>
  <si>
    <t>МО СП село "Никитское"</t>
  </si>
  <si>
    <t>МО СП деревня "Варваровка"</t>
  </si>
  <si>
    <t>МО СП деревня "Михальчуково"</t>
  </si>
  <si>
    <t>МО СП поселок "Детчино"</t>
  </si>
  <si>
    <t>МО СП Деревня "Воробьево"</t>
  </si>
  <si>
    <t>МО СП Деревня "Захарово"</t>
  </si>
  <si>
    <t>МО СПСело "Ильинское"</t>
  </si>
  <si>
    <t>МО СП Село "Колонтай"</t>
  </si>
  <si>
    <t>МО СП Село "Кудиново"</t>
  </si>
  <si>
    <t>МО СП Село "Спас-Загорье"</t>
  </si>
  <si>
    <t>МО СП Село "Маклино"</t>
  </si>
  <si>
    <t>МО СП Село Головтеево</t>
  </si>
  <si>
    <t>МО СП Деревня Михеево</t>
  </si>
  <si>
    <t>МО СП Село Недельное</t>
  </si>
  <si>
    <t>МО СП Деревня Прудки</t>
  </si>
  <si>
    <t>МО СП Деревня Рябцево</t>
  </si>
  <si>
    <t>МО СП Село Юбилейный</t>
  </si>
  <si>
    <t>МО СП Деревня Шумятино</t>
  </si>
  <si>
    <t>МО СП Деревня Березовка</t>
  </si>
  <si>
    <t>ГП МО Мещовский р-он г. Мещовск</t>
  </si>
  <si>
    <t>МО СП ст. Кудринская</t>
  </si>
  <si>
    <t xml:space="preserve"> ГП г. Мосальск</t>
  </si>
  <si>
    <t>Наименование</t>
  </si>
  <si>
    <t>Примечание</t>
  </si>
  <si>
    <t>На территории городского поселения "Город Киров"</t>
  </si>
  <si>
    <t>29,986</t>
  </si>
  <si>
    <t>57,714</t>
  </si>
  <si>
    <t>Внутрипоселковые дороги местного значения  городского поселения "город Жиздра"</t>
  </si>
  <si>
    <t>Всего км</t>
  </si>
  <si>
    <t>2/36</t>
  </si>
  <si>
    <t>174/1265</t>
  </si>
  <si>
    <t>37/396</t>
  </si>
  <si>
    <t>4/25</t>
  </si>
  <si>
    <t>7/91</t>
  </si>
  <si>
    <t>40/335</t>
  </si>
  <si>
    <t>131/1005</t>
  </si>
  <si>
    <t>122/1692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</si>
  <si>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</si>
  <si>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</si>
  <si>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</si>
  <si>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</si>
  <si>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</si>
  <si>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</si>
  <si>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</si>
  <si>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</si>
  <si>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</si>
  <si>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</si>
  <si>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</si>
  <si>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</si>
  <si>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</si>
  <si>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</si>
  <si>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</si>
  <si>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</si>
  <si>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</si>
  <si>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</si>
  <si>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</si>
  <si>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</si>
  <si>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</si>
  <si>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</si>
  <si>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</si>
  <si>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</si>
  <si>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</si>
  <si>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</si>
  <si>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</si>
  <si>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</si>
  <si>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</si>
  <si>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</si>
  <si>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</si>
  <si>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</si>
  <si>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</si>
  <si>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</si>
  <si>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</si>
  <si>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</si>
  <si>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</si>
  <si>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</si>
  <si>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</si>
  <si>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</si>
  <si>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</si>
  <si>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2007г.                 Кв.м</t>
  </si>
  <si>
    <t>Протяженность сети дорог (км)  на 1.01.2007г.</t>
  </si>
  <si>
    <t>1/9</t>
  </si>
  <si>
    <t>Дороги районного значения</t>
  </si>
  <si>
    <t>Дороги поселений</t>
  </si>
  <si>
    <t>ГП "г. Киров"</t>
  </si>
  <si>
    <t>ГП "г. Козельск"</t>
  </si>
  <si>
    <t>ГП "г. Сосенский"</t>
  </si>
  <si>
    <t>г. Бетлица</t>
  </si>
  <si>
    <t>ГП "г. Людиново"</t>
  </si>
  <si>
    <t>п. Износки</t>
  </si>
  <si>
    <t>г. Жиздра</t>
  </si>
  <si>
    <t>ГП п. Думиничи</t>
  </si>
  <si>
    <t>ГП "г. Кондрово"</t>
  </si>
  <si>
    <t>ГП "г. Товарково"</t>
  </si>
  <si>
    <t>ГП "п.Пятовский"</t>
  </si>
  <si>
    <t>ГП "п. Куровской"</t>
  </si>
  <si>
    <t>ГП "г. Боровск"</t>
  </si>
  <si>
    <t>ГП п. Воротынск</t>
  </si>
  <si>
    <t>ГП п. Бабынино</t>
  </si>
  <si>
    <t>СП п. Барятино</t>
  </si>
  <si>
    <t>3/66</t>
  </si>
  <si>
    <t>ул. Гагарина</t>
  </si>
  <si>
    <t>ул. Кирова</t>
  </si>
  <si>
    <t>ул. Коммунистическая</t>
  </si>
  <si>
    <t>ул. Петрова</t>
  </si>
  <si>
    <t>ул. Соколова</t>
  </si>
  <si>
    <t>ул. 17-й стрелковой дивизии</t>
  </si>
  <si>
    <t>1</t>
  </si>
  <si>
    <t>2</t>
  </si>
  <si>
    <t>3</t>
  </si>
  <si>
    <t>4</t>
  </si>
  <si>
    <t>5</t>
  </si>
  <si>
    <t>7</t>
  </si>
  <si>
    <t>Всего</t>
  </si>
  <si>
    <t>2/20</t>
  </si>
  <si>
    <t>МО СП Деревня "Рамено</t>
  </si>
  <si>
    <t>МО СП Село Гаврики</t>
  </si>
  <si>
    <t>2/24</t>
  </si>
  <si>
    <t>3/80</t>
  </si>
  <si>
    <t>25/100</t>
  </si>
  <si>
    <t>СП "Село Петрищево"</t>
  </si>
  <si>
    <t>СП Село Роща"</t>
  </si>
  <si>
    <t>ГП "Город Таруса"</t>
  </si>
  <si>
    <t>1/6</t>
  </si>
  <si>
    <t>СП "Деревня  Алекино"</t>
  </si>
  <si>
    <t>По отчету № 3-ДГ (мо)</t>
  </si>
  <si>
    <t>ВСЕГО по районам:</t>
  </si>
  <si>
    <t>1/51</t>
  </si>
  <si>
    <t>1/70</t>
  </si>
  <si>
    <t>6/49,7</t>
  </si>
  <si>
    <t>12/62</t>
  </si>
  <si>
    <t>3/9</t>
  </si>
  <si>
    <t>5/110</t>
  </si>
  <si>
    <t>7/70</t>
  </si>
  <si>
    <t>9/77</t>
  </si>
  <si>
    <t>6/30</t>
  </si>
  <si>
    <t>9/26</t>
  </si>
  <si>
    <t>13.19</t>
  </si>
  <si>
    <t>МО СП "Деревня Ерденево"</t>
  </si>
  <si>
    <t>3/23</t>
  </si>
  <si>
    <t>2/17</t>
  </si>
  <si>
    <t>5/30</t>
  </si>
  <si>
    <t>Итого:</t>
  </si>
  <si>
    <t>Всего:</t>
  </si>
  <si>
    <t>2/10</t>
  </si>
  <si>
    <t>5/50</t>
  </si>
  <si>
    <t>8/32</t>
  </si>
  <si>
    <t>Дороги сельского поселения:</t>
  </si>
  <si>
    <t>МО СП Село Боровенск</t>
  </si>
  <si>
    <t>МО СП Деревня Воронино</t>
  </si>
  <si>
    <t>МО СП Деревня Горбачи</t>
  </si>
  <si>
    <t>МО СП Село Шаховский</t>
  </si>
  <si>
    <t>МО СП Деревня Долгое</t>
  </si>
  <si>
    <t>МО СП Село Дашино</t>
  </si>
  <si>
    <t>МР "Бабынинский район"</t>
  </si>
  <si>
    <t>МР "Дзержинский р-он"</t>
  </si>
  <si>
    <t>МР "Думиничский р-он"</t>
  </si>
  <si>
    <t>6</t>
  </si>
  <si>
    <t>МР "Износковский р-он"</t>
  </si>
  <si>
    <t>9</t>
  </si>
  <si>
    <t>МР "Город Киров и Кировский р-он"</t>
  </si>
  <si>
    <t>10</t>
  </si>
  <si>
    <t>11</t>
  </si>
  <si>
    <t>МР "Куйбышевский р-он"</t>
  </si>
  <si>
    <t>12</t>
  </si>
  <si>
    <t>МР "Город Людиново и Людиновский р-он"</t>
  </si>
  <si>
    <t>24/334</t>
  </si>
  <si>
    <t>92/786</t>
  </si>
  <si>
    <t>8</t>
  </si>
  <si>
    <t>МО СП Деревня Посконь</t>
  </si>
  <si>
    <t>МО СП Деревня Путогино</t>
  </si>
  <si>
    <t>МО СП Деревня Людково</t>
  </si>
  <si>
    <t>МО СП Село Раменский</t>
  </si>
  <si>
    <t>МО СП Деревня Савино</t>
  </si>
  <si>
    <t>МО СП Деревня Гачки</t>
  </si>
  <si>
    <t>МО СП Село Тарасково</t>
  </si>
  <si>
    <t>МО СП Село Молодежный</t>
  </si>
  <si>
    <t>МО СП Село Серпейск</t>
  </si>
  <si>
    <t>МО СП Деревня Алиеры</t>
  </si>
  <si>
    <t>1/3</t>
  </si>
  <si>
    <t>11/88</t>
  </si>
  <si>
    <t>МО СП Деревня Юрьево</t>
  </si>
  <si>
    <t>4/28</t>
  </si>
  <si>
    <t>МО СП Село Фролово</t>
  </si>
  <si>
    <t>5/45</t>
  </si>
  <si>
    <t>12/72</t>
  </si>
  <si>
    <t>МО СП Село Шлиппово</t>
  </si>
  <si>
    <t>МО СП Село Татаринцы</t>
  </si>
  <si>
    <t>МО СП Деревня Субботники</t>
  </si>
  <si>
    <t>6/36</t>
  </si>
  <si>
    <t>МО СП Деревня Радождево</t>
  </si>
  <si>
    <t>МО СП Деревня Соболевка</t>
  </si>
  <si>
    <t>МО СП Село Брынь</t>
  </si>
  <si>
    <t>МО СП Деревня Ермолово</t>
  </si>
  <si>
    <t>МО СП Село Богдановы Колодези</t>
  </si>
  <si>
    <t>Мо СП Село Хотень</t>
  </si>
  <si>
    <t>МО СП Село Дабужа</t>
  </si>
  <si>
    <t>МО СП Деревня Глазково</t>
  </si>
  <si>
    <t>МО СП Деревня Верховая</t>
  </si>
  <si>
    <t>МО СП Деревня Стрельна</t>
  </si>
  <si>
    <t>МО СП Деревня Бордуково</t>
  </si>
  <si>
    <t>13/113</t>
  </si>
  <si>
    <t>59/441</t>
  </si>
  <si>
    <t>МО СП Село Ахлебино</t>
  </si>
  <si>
    <t>МО СП Село Борищево</t>
  </si>
  <si>
    <t>Тип а/дорожного покрытия, км</t>
  </si>
  <si>
    <t>АСФ</t>
  </si>
  <si>
    <t>Грунт</t>
  </si>
  <si>
    <t>Бетон, цемент</t>
  </si>
  <si>
    <t>Щебень гравий</t>
  </si>
  <si>
    <t>Протяж-ть  мостов   шт/ п.м.</t>
  </si>
  <si>
    <t>15/80,1</t>
  </si>
  <si>
    <t>21/84</t>
  </si>
  <si>
    <t>2/30</t>
  </si>
  <si>
    <t>10/80</t>
  </si>
  <si>
    <t>1/60</t>
  </si>
  <si>
    <t>1/50</t>
  </si>
  <si>
    <t>25/250</t>
  </si>
  <si>
    <t>45/244</t>
  </si>
  <si>
    <t>25/286,1</t>
  </si>
  <si>
    <t>72/483</t>
  </si>
  <si>
    <t>12/229</t>
  </si>
  <si>
    <t>15/90</t>
  </si>
  <si>
    <t>26/109</t>
  </si>
  <si>
    <t>5/92</t>
  </si>
  <si>
    <t>143/2044</t>
  </si>
  <si>
    <t>МО СП Село Калужская опытная сельскохозяйственная станция</t>
  </si>
  <si>
    <t>МО СП Деревня Горки</t>
  </si>
  <si>
    <t>МО СП Деревня Гремячево</t>
  </si>
  <si>
    <t>МО СП Деревня Григоровское</t>
  </si>
  <si>
    <t>МО СП Село Ильинское</t>
  </si>
  <si>
    <t>МО СП Деревня Большие Козлы</t>
  </si>
  <si>
    <t>МО СП Село Корекозево</t>
  </si>
  <si>
    <t>МО СП Село Макарово</t>
  </si>
  <si>
    <t>МО СП Село Перемышль</t>
  </si>
  <si>
    <t>МО СП Деревня Песочня</t>
  </si>
  <si>
    <t>МО СП Деревня Погореловка</t>
  </si>
  <si>
    <t>МО СП Деревня Покровское</t>
  </si>
  <si>
    <t>МО СП Деревня Сильково</t>
  </si>
  <si>
    <t>МО СП Деревня Хотисино</t>
  </si>
  <si>
    <t>МО СП Деревня Хохловка</t>
  </si>
  <si>
    <t>МО СП Поселок Ферзиково</t>
  </si>
  <si>
    <t>9/54</t>
  </si>
  <si>
    <t>35/390</t>
  </si>
  <si>
    <t>8/35</t>
  </si>
  <si>
    <t>3/17</t>
  </si>
  <si>
    <t>64/454</t>
  </si>
  <si>
    <t>2/12</t>
  </si>
  <si>
    <t>1/20</t>
  </si>
  <si>
    <t>3/30</t>
  </si>
  <si>
    <t>2/6</t>
  </si>
  <si>
    <t>4/16</t>
  </si>
  <si>
    <t>3/10</t>
  </si>
  <si>
    <t>4/24</t>
  </si>
  <si>
    <t>3/18</t>
  </si>
  <si>
    <t>1/5</t>
  </si>
  <si>
    <t>2/8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</si>
  <si>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</si>
  <si>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</si>
  <si>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</si>
  <si>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</si>
  <si>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</si>
  <si>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</si>
  <si>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</si>
  <si>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</si>
  <si>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</si>
  <si>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</si>
  <si>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</si>
  <si>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</si>
  <si>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</si>
  <si>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</si>
  <si>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</si>
  <si>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</si>
  <si>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</si>
  <si>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</si>
  <si>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</si>
  <si>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</si>
  <si>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</si>
  <si>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</si>
  <si>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</si>
  <si>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</si>
  <si>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</si>
  <si>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</si>
  <si>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</si>
  <si>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</si>
  <si>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</si>
  <si>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</si>
  <si>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</si>
  <si>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</si>
  <si>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</si>
  <si>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</si>
  <si>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</si>
  <si>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</si>
  <si>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</si>
  <si>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</si>
  <si>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</si>
  <si>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</si>
  <si>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</si>
  <si>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</si>
  <si>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</si>
  <si>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</si>
  <si>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</si>
  <si>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</si>
  <si>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</si>
  <si>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</si>
  <si>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</si>
  <si>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</si>
  <si>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</si>
  <si>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</si>
  <si>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17.2</t>
  </si>
  <si>
    <t>17.3</t>
  </si>
  <si>
    <t>17.4</t>
  </si>
  <si>
    <t>17.5</t>
  </si>
  <si>
    <t>17.6</t>
  </si>
  <si>
    <t>17.7</t>
  </si>
  <si>
    <t>475,3       (420,75)</t>
  </si>
  <si>
    <t>МР Медынский район</t>
  </si>
  <si>
    <t>МР "Малоярославецкий р-он"</t>
  </si>
  <si>
    <t>МР "Хвастовический р-он</t>
  </si>
  <si>
    <t>МР Перемышльский р-он</t>
  </si>
  <si>
    <t>МР Тарусский р-он</t>
  </si>
  <si>
    <t>МР Ульяновский р-он</t>
  </si>
  <si>
    <t>МР Ферзиковский р-он</t>
  </si>
  <si>
    <t>МР "Мосальский р-он"</t>
  </si>
  <si>
    <t>№ п/п</t>
  </si>
  <si>
    <t>МР "Спас-Деменский р-он"</t>
  </si>
  <si>
    <t>МР "Сухиничиский р-он"</t>
  </si>
  <si>
    <t>181.2</t>
  </si>
  <si>
    <t>МР "Жиздринский р-он"</t>
  </si>
  <si>
    <t>85/385</t>
  </si>
  <si>
    <t>75/477</t>
  </si>
  <si>
    <t>160/862</t>
  </si>
  <si>
    <t>11/203</t>
  </si>
  <si>
    <t>52/385</t>
  </si>
  <si>
    <t>9/75</t>
  </si>
  <si>
    <t>41/453</t>
  </si>
  <si>
    <t>7/103</t>
  </si>
  <si>
    <t>6/91</t>
  </si>
  <si>
    <t>28/303</t>
  </si>
  <si>
    <t>13/150</t>
  </si>
  <si>
    <t>97/615</t>
  </si>
  <si>
    <t>14/1148</t>
  </si>
  <si>
    <t>9/23</t>
  </si>
  <si>
    <t>2/209</t>
  </si>
  <si>
    <t>12/939</t>
  </si>
  <si>
    <t>72/427</t>
  </si>
  <si>
    <t>16/165</t>
  </si>
  <si>
    <t>25/286</t>
  </si>
  <si>
    <t>271/5130</t>
  </si>
  <si>
    <t>1281/9592</t>
  </si>
  <si>
    <t>36/367</t>
  </si>
  <si>
    <t>38/383</t>
  </si>
  <si>
    <t>МО "г. Калуга"</t>
  </si>
  <si>
    <t>МО "г. Обнинск"</t>
  </si>
  <si>
    <t>Автомобильные дороги межмуниципального значения Калужской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</si>
</sst>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  <numFmt numFmtId="168" formatCode="#,##0.000"/>
    <numFmt numFmtId="169" formatCode="#,##0.0"/>
    <numFmt numFmtId="170" formatCode="#,##0.0000"/>
    <numFmt numFmtId="171" formatCode="#,##0.00000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0"/>
      <color indexed="4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1" fillId="0" borderId="1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" fontId="5" fillId="0" borderId="1" xfId="0" applyNumberFormat="1" applyFont="1" applyBorder="1" applyAlignment="1">
      <alignment horizontal="left" vertical="top" wrapText="1"/>
    </xf>
    <xf numFmtId="2" fontId="8" fillId="0" borderId="0" xfId="0" applyNumberFormat="1" applyFont="1" applyAlignment="1">
      <alignment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4" fontId="5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2" fontId="8" fillId="4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/>
    </xf>
    <xf numFmtId="0" fontId="1" fillId="5" borderId="1" xfId="0" applyNumberFormat="1" applyFont="1" applyFill="1" applyBorder="1" applyAlignment="1">
      <alignment horizontal="righ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8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4" xfId="0" applyNumberFormat="1" applyFont="1" applyBorder="1" applyAlignment="1">
      <alignment horizontal="right" vertical="top" wrapText="1"/>
    </xf>
    <xf numFmtId="49" fontId="18" fillId="0" borderId="1" xfId="0" applyNumberFormat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/>
    </xf>
    <xf numFmtId="2" fontId="14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9" fillId="0" borderId="0" xfId="0" applyFont="1" applyAlignment="1">
      <alignment/>
    </xf>
    <xf numFmtId="49" fontId="1" fillId="5" borderId="1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49" fontId="2" fillId="0" borderId="3" xfId="0" applyNumberFormat="1" applyFont="1" applyBorder="1" applyAlignment="1">
      <alignment horizontal="left" vertical="top" wrapText="1"/>
    </xf>
    <xf numFmtId="2" fontId="10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 vertical="top" wrapText="1"/>
    </xf>
    <xf numFmtId="4" fontId="18" fillId="0" borderId="3" xfId="0" applyNumberFormat="1" applyFont="1" applyBorder="1" applyAlignment="1">
      <alignment/>
    </xf>
    <xf numFmtId="49" fontId="17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shrinkToFit="1"/>
    </xf>
    <xf numFmtId="49" fontId="4" fillId="0" borderId="2" xfId="0" applyNumberFormat="1" applyFont="1" applyFill="1" applyBorder="1" applyAlignment="1">
      <alignment horizontal="right" vertical="top" wrapText="1"/>
    </xf>
    <xf numFmtId="49" fontId="1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4" fontId="1" fillId="0" borderId="0" xfId="0" applyNumberFormat="1" applyFont="1" applyFill="1" applyAlignment="1">
      <alignment vertical="top" wrapText="1"/>
    </xf>
    <xf numFmtId="0" fontId="1" fillId="4" borderId="1" xfId="0" applyNumberFormat="1" applyFont="1" applyFill="1" applyBorder="1" applyAlignment="1">
      <alignment horizontal="right" vertical="top" wrapText="1"/>
    </xf>
    <xf numFmtId="49" fontId="15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166" fontId="8" fillId="0" borderId="1" xfId="0" applyNumberFormat="1" applyFont="1" applyFill="1" applyBorder="1" applyAlignment="1">
      <alignment horizontal="left" vertical="top" wrapText="1"/>
    </xf>
    <xf numFmtId="166" fontId="8" fillId="0" borderId="0" xfId="0" applyNumberFormat="1" applyFont="1" applyFill="1" applyAlignment="1">
      <alignment vertical="top" wrapText="1"/>
    </xf>
    <xf numFmtId="166" fontId="8" fillId="0" borderId="2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vertical="top" wrapText="1"/>
    </xf>
    <xf numFmtId="2" fontId="20" fillId="0" borderId="2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left" shrinkToFit="1"/>
    </xf>
    <xf numFmtId="49" fontId="5" fillId="0" borderId="3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vertical="top" wrapText="1"/>
    </xf>
    <xf numFmtId="49" fontId="14" fillId="0" borderId="0" xfId="0" applyNumberFormat="1" applyFont="1" applyFill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7"/>
  <sheetViews>
    <sheetView workbookViewId="0" topLeftCell="A16">
      <selection activeCell="D26" sqref="D26"/>
    </sheetView>
  </sheetViews>
  <sheetFormatPr defaultColWidth="9.00390625" defaultRowHeight="12.75"/>
  <cols>
    <col min="1" max="1" width="4.00390625" style="0" customWidth="1"/>
    <col min="2" max="2" width="21.25390625" style="0" customWidth="1"/>
    <col min="3" max="3" width="12.125" style="0" customWidth="1"/>
    <col min="4" max="4" width="10.625" style="0" customWidth="1"/>
    <col min="5" max="5" width="11.625" style="0" customWidth="1"/>
    <col min="7" max="7" width="9.875" style="0" customWidth="1"/>
    <col min="9" max="9" width="9.875" style="0" customWidth="1"/>
    <col min="13" max="13" width="10.75390625" style="0" customWidth="1"/>
    <col min="14" max="14" width="10.25390625" style="0" customWidth="1"/>
    <col min="15" max="15" width="11.375" style="0" customWidth="1"/>
  </cols>
  <sheetData>
    <row r="2" ht="18.75">
      <c r="C2" s="83" t="s">
        <v>127</v>
      </c>
    </row>
    <row r="4" spans="1:29" ht="39" customHeight="1">
      <c r="A4" s="8" t="s">
        <v>568</v>
      </c>
      <c r="B4" s="91" t="s">
        <v>124</v>
      </c>
      <c r="C4" s="75" t="s">
        <v>561</v>
      </c>
      <c r="D4" s="75" t="s">
        <v>560</v>
      </c>
      <c r="E4" s="75" t="s">
        <v>11</v>
      </c>
      <c r="F4" s="75" t="s">
        <v>567</v>
      </c>
      <c r="G4" s="75" t="s">
        <v>563</v>
      </c>
      <c r="H4" s="75" t="s">
        <v>569</v>
      </c>
      <c r="I4" s="75" t="s">
        <v>570</v>
      </c>
      <c r="J4" s="75" t="s">
        <v>564</v>
      </c>
      <c r="K4" s="75" t="s">
        <v>565</v>
      </c>
      <c r="L4" s="75" t="s">
        <v>566</v>
      </c>
      <c r="M4" s="75" t="s">
        <v>562</v>
      </c>
      <c r="N4" s="75" t="s">
        <v>12</v>
      </c>
      <c r="O4" s="75" t="s">
        <v>155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15" ht="28.5">
      <c r="A5" s="10">
        <v>1</v>
      </c>
      <c r="B5" s="79" t="s">
        <v>122</v>
      </c>
      <c r="C5" s="81">
        <f aca="true" t="shared" si="0" ref="C5:O5">C6+C7</f>
        <v>14787.1</v>
      </c>
      <c r="D5" s="81">
        <f t="shared" si="0"/>
        <v>5962.6</v>
      </c>
      <c r="E5" s="81">
        <f t="shared" si="0"/>
        <v>5731.6</v>
      </c>
      <c r="F5" s="81">
        <f t="shared" si="0"/>
        <v>5235.2</v>
      </c>
      <c r="G5" s="81">
        <f t="shared" si="0"/>
        <v>3402.4</v>
      </c>
      <c r="H5" s="81">
        <f t="shared" si="0"/>
        <v>1969.4</v>
      </c>
      <c r="I5" s="81">
        <f t="shared" si="0"/>
        <v>7463</v>
      </c>
      <c r="J5" s="81">
        <f t="shared" si="0"/>
        <v>5062.3</v>
      </c>
      <c r="K5" s="81">
        <f t="shared" si="0"/>
        <v>2916.4</v>
      </c>
      <c r="L5" s="81">
        <f t="shared" si="0"/>
        <v>4975.4</v>
      </c>
      <c r="M5" s="81">
        <f t="shared" si="0"/>
        <v>4208</v>
      </c>
      <c r="N5" s="81">
        <f t="shared" si="0"/>
        <v>4651.7</v>
      </c>
      <c r="O5" s="81">
        <f t="shared" si="0"/>
        <v>27899</v>
      </c>
    </row>
    <row r="6" spans="1:15" ht="15.75">
      <c r="A6" s="10">
        <v>2</v>
      </c>
      <c r="B6" s="44" t="s">
        <v>120</v>
      </c>
      <c r="C6" s="22">
        <v>11842</v>
      </c>
      <c r="D6" s="22">
        <v>4918</v>
      </c>
      <c r="E6" s="23">
        <v>4812</v>
      </c>
      <c r="F6" s="22">
        <v>4346</v>
      </c>
      <c r="G6" s="22">
        <v>2814</v>
      </c>
      <c r="H6" s="22">
        <v>1653</v>
      </c>
      <c r="I6" s="23">
        <v>6180</v>
      </c>
      <c r="J6" s="26">
        <v>4192</v>
      </c>
      <c r="K6" s="22">
        <v>2446</v>
      </c>
      <c r="L6" s="22">
        <v>4118</v>
      </c>
      <c r="M6" s="22">
        <v>3495</v>
      </c>
      <c r="N6" s="22">
        <v>3853</v>
      </c>
      <c r="O6" s="22">
        <v>27899</v>
      </c>
    </row>
    <row r="7" spans="1:15" ht="26.25" thickBot="1">
      <c r="A7" s="78">
        <v>3</v>
      </c>
      <c r="B7" s="89" t="s">
        <v>121</v>
      </c>
      <c r="C7" s="80">
        <v>2945.1</v>
      </c>
      <c r="D7" s="80">
        <v>1044.6</v>
      </c>
      <c r="E7" s="80">
        <v>919.6</v>
      </c>
      <c r="F7" s="80">
        <v>889.2</v>
      </c>
      <c r="G7" s="80">
        <v>588.4</v>
      </c>
      <c r="H7" s="80">
        <v>316.4</v>
      </c>
      <c r="I7" s="80">
        <v>1283</v>
      </c>
      <c r="J7" s="80">
        <v>870.3</v>
      </c>
      <c r="K7" s="80">
        <v>470.4</v>
      </c>
      <c r="L7" s="80">
        <v>857.4</v>
      </c>
      <c r="M7" s="80">
        <v>713</v>
      </c>
      <c r="N7" s="80">
        <v>798.7</v>
      </c>
      <c r="O7" s="80"/>
    </row>
    <row r="8" spans="1:15" ht="15.75" thickTop="1">
      <c r="A8" s="77"/>
      <c r="B8" s="87" t="s">
        <v>387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0">
        <f>SUM(C5:N5)</f>
        <v>66365.1</v>
      </c>
    </row>
    <row r="9" spans="1:15" ht="26.25">
      <c r="A9" s="10">
        <v>4</v>
      </c>
      <c r="B9" s="82" t="s">
        <v>123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308.68</v>
      </c>
      <c r="N9" s="27"/>
      <c r="O9" s="27"/>
    </row>
    <row r="10" spans="1:15" ht="26.25">
      <c r="A10" s="10">
        <v>5</v>
      </c>
      <c r="B10" s="82" t="s">
        <v>125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348.608</v>
      </c>
      <c r="N10" s="27"/>
      <c r="O10" s="27"/>
    </row>
    <row r="11" spans="1:15" ht="26.25">
      <c r="A11" s="10">
        <v>6</v>
      </c>
      <c r="B11" s="82" t="s">
        <v>126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363.909</v>
      </c>
      <c r="N11" s="27"/>
      <c r="O11" s="27"/>
    </row>
    <row r="12" spans="1:15" ht="26.25">
      <c r="A12" s="10">
        <v>7</v>
      </c>
      <c r="B12" s="82" t="s">
        <v>128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214.22</v>
      </c>
      <c r="N12" s="27"/>
      <c r="O12" s="27"/>
    </row>
    <row r="13" spans="1:15" ht="26.25">
      <c r="A13" s="10">
        <v>8</v>
      </c>
      <c r="B13" s="82" t="s">
        <v>129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171.08</v>
      </c>
      <c r="N13" s="27"/>
      <c r="O13" s="27"/>
    </row>
    <row r="14" spans="1:15" ht="26.25">
      <c r="A14" s="10">
        <v>9</v>
      </c>
      <c r="B14" s="82" t="s">
        <v>130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520.001</v>
      </c>
      <c r="N14" s="27"/>
      <c r="O14" s="27"/>
    </row>
    <row r="15" spans="1:15" ht="26.25">
      <c r="A15" s="10">
        <v>10</v>
      </c>
      <c r="B15" s="82" t="s">
        <v>131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248.976</v>
      </c>
      <c r="N15" s="27"/>
      <c r="O15" s="27"/>
    </row>
    <row r="16" spans="1:15" ht="26.25">
      <c r="A16" s="10">
        <v>12</v>
      </c>
      <c r="B16" s="82" t="s">
        <v>132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162.344</v>
      </c>
      <c r="N16" s="27"/>
      <c r="O16" s="27"/>
    </row>
    <row r="17" spans="1:15" ht="26.25">
      <c r="A17" s="10">
        <v>13</v>
      </c>
      <c r="B17" s="82" t="s">
        <v>133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238.16</v>
      </c>
      <c r="N17" s="27"/>
      <c r="O17" s="27"/>
    </row>
    <row r="18" spans="1:15" ht="26.25">
      <c r="A18" s="10">
        <v>14</v>
      </c>
      <c r="B18" s="82" t="s">
        <v>134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309.92</v>
      </c>
      <c r="N18" s="27"/>
      <c r="O18" s="27"/>
    </row>
    <row r="19" spans="1:15" ht="26.25">
      <c r="A19" s="10">
        <v>15</v>
      </c>
      <c r="B19" s="82" t="s">
        <v>135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142.896</v>
      </c>
      <c r="N19" s="27"/>
      <c r="O19" s="27"/>
    </row>
    <row r="20" spans="1:15" ht="26.25">
      <c r="A20" s="10">
        <v>16</v>
      </c>
      <c r="B20" s="82" t="s">
        <v>136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408.621</v>
      </c>
      <c r="N20" s="27"/>
      <c r="O20" s="27"/>
    </row>
    <row r="21" spans="1:15" ht="26.25">
      <c r="A21" s="10">
        <v>17</v>
      </c>
      <c r="B21" s="82" t="s">
        <v>137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104</v>
      </c>
      <c r="N21" s="27"/>
      <c r="O21" s="27"/>
    </row>
    <row r="22" spans="1:15" ht="26.25">
      <c r="A22" s="10">
        <v>18</v>
      </c>
      <c r="B22" s="82" t="s">
        <v>138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101.712</v>
      </c>
      <c r="N22" s="27"/>
      <c r="O22" s="27"/>
    </row>
    <row r="23" spans="1:15" ht="15">
      <c r="A23" s="69"/>
      <c r="B23" s="84" t="s">
        <v>386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>
        <f>SUM(M9:M22)</f>
        <v>3643.127</v>
      </c>
      <c r="N23" s="85"/>
      <c r="O23" s="85"/>
    </row>
    <row r="24" spans="1:15" ht="38.25" customHeight="1">
      <c r="A24" s="10">
        <v>1</v>
      </c>
      <c r="B24" s="1" t="s">
        <v>139</v>
      </c>
      <c r="C24" s="27"/>
      <c r="D24" s="116">
        <v>1613.994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7.75" customHeight="1">
      <c r="A25" s="10">
        <v>2</v>
      </c>
      <c r="B25" s="1" t="s">
        <v>140</v>
      </c>
      <c r="C25" s="27"/>
      <c r="D25" s="116">
        <v>600.585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5.5">
      <c r="A26" s="10">
        <v>3</v>
      </c>
      <c r="B26" s="1" t="s">
        <v>141</v>
      </c>
      <c r="C26" s="27"/>
      <c r="D26" s="116">
        <v>763.496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38.25">
      <c r="A27" s="10">
        <v>4</v>
      </c>
      <c r="B27" s="1" t="s">
        <v>142</v>
      </c>
      <c r="C27" s="27"/>
      <c r="D27" s="116">
        <v>767.574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5.5">
      <c r="A28" s="10">
        <v>5</v>
      </c>
      <c r="B28" s="1" t="s">
        <v>143</v>
      </c>
      <c r="C28" s="27"/>
      <c r="D28" s="116">
        <v>2575.041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">
      <c r="A29" s="69"/>
      <c r="B29" s="84" t="s">
        <v>386</v>
      </c>
      <c r="C29" s="85"/>
      <c r="D29" s="86">
        <f>SUM(D24:D28)</f>
        <v>6320.6900000000005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26.25">
      <c r="A30" s="10">
        <v>1</v>
      </c>
      <c r="B30" s="82" t="s">
        <v>145</v>
      </c>
      <c r="C30" s="27"/>
      <c r="D30" s="27"/>
      <c r="E30" s="27"/>
      <c r="F30" s="27"/>
      <c r="G30" s="27"/>
      <c r="H30" s="27"/>
      <c r="I30" s="27">
        <v>1851.158</v>
      </c>
      <c r="J30" s="27"/>
      <c r="K30" s="27"/>
      <c r="L30" s="27"/>
      <c r="M30" s="27"/>
      <c r="N30" s="27"/>
      <c r="O30" s="27"/>
    </row>
    <row r="31" spans="1:15" ht="26.25">
      <c r="A31" s="10">
        <v>2</v>
      </c>
      <c r="B31" s="82" t="s">
        <v>144</v>
      </c>
      <c r="C31" s="27"/>
      <c r="D31" s="27"/>
      <c r="E31" s="27"/>
      <c r="F31" s="27"/>
      <c r="G31" s="27"/>
      <c r="H31" s="27"/>
      <c r="I31" s="27">
        <v>1808.534</v>
      </c>
      <c r="J31" s="27"/>
      <c r="K31" s="27"/>
      <c r="L31" s="27"/>
      <c r="M31" s="27"/>
      <c r="N31" s="27"/>
      <c r="O31" s="27"/>
    </row>
    <row r="32" spans="1:15" ht="26.25">
      <c r="A32" s="10">
        <v>3</v>
      </c>
      <c r="B32" s="82" t="s">
        <v>146</v>
      </c>
      <c r="C32" s="27"/>
      <c r="D32" s="27"/>
      <c r="E32" s="27"/>
      <c r="F32" s="27"/>
      <c r="G32" s="27"/>
      <c r="H32" s="27"/>
      <c r="I32" s="27">
        <v>2726.615</v>
      </c>
      <c r="J32" s="27"/>
      <c r="K32" s="27"/>
      <c r="L32" s="27"/>
      <c r="M32" s="27"/>
      <c r="N32" s="27"/>
      <c r="O32" s="27"/>
    </row>
    <row r="33" spans="1:15" ht="39">
      <c r="A33" s="10">
        <v>4</v>
      </c>
      <c r="B33" s="82" t="s">
        <v>147</v>
      </c>
      <c r="C33" s="27"/>
      <c r="D33" s="27"/>
      <c r="E33" s="27"/>
      <c r="F33" s="27"/>
      <c r="G33" s="27"/>
      <c r="H33" s="27"/>
      <c r="I33" s="27">
        <v>785.341</v>
      </c>
      <c r="J33" s="27"/>
      <c r="K33" s="27"/>
      <c r="L33" s="27"/>
      <c r="M33" s="27"/>
      <c r="N33" s="27"/>
      <c r="O33" s="27"/>
    </row>
    <row r="34" spans="1:15" ht="15">
      <c r="A34" s="69"/>
      <c r="B34" s="84" t="s">
        <v>386</v>
      </c>
      <c r="C34" s="85"/>
      <c r="D34" s="85"/>
      <c r="E34" s="85"/>
      <c r="F34" s="85"/>
      <c r="G34" s="85"/>
      <c r="H34" s="85"/>
      <c r="I34" s="86">
        <f>SUM(I30:I33)</f>
        <v>7171.648</v>
      </c>
      <c r="J34" s="85"/>
      <c r="K34" s="85"/>
      <c r="L34" s="85"/>
      <c r="M34" s="85"/>
      <c r="N34" s="85"/>
      <c r="O34" s="85"/>
    </row>
    <row r="35" spans="1:15" ht="15">
      <c r="A35" s="10"/>
      <c r="B35" s="8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">
      <c r="A36" s="10"/>
      <c r="B36" s="8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">
      <c r="A37" s="10"/>
      <c r="B37" s="8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">
      <c r="A38" s="10"/>
      <c r="B38" s="8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">
      <c r="A39" s="10"/>
      <c r="B39" s="8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">
      <c r="A40" s="10"/>
      <c r="B40" s="8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5">
      <c r="A41" s="10"/>
      <c r="B41" s="8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">
      <c r="A42" s="10"/>
      <c r="B42" s="8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">
      <c r="A43" s="10"/>
      <c r="B43" s="8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5">
      <c r="A44" s="10"/>
      <c r="B44" s="8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">
      <c r="A45" s="10"/>
      <c r="B45" s="8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5">
      <c r="A46" s="10"/>
      <c r="B46" s="8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">
      <c r="A47" s="10"/>
      <c r="B47" s="8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7"/>
  <sheetViews>
    <sheetView zoomScaleSheetLayoutView="90" workbookViewId="0" topLeftCell="A4">
      <pane xSplit="2" ySplit="4" topLeftCell="D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P6" sqref="P6"/>
    </sheetView>
  </sheetViews>
  <sheetFormatPr defaultColWidth="9.00390625" defaultRowHeight="12.75"/>
  <cols>
    <col min="1" max="1" width="4.00390625" style="0" customWidth="1"/>
    <col min="2" max="2" width="21.25390625" style="0" customWidth="1"/>
    <col min="3" max="3" width="12.125" style="0" customWidth="1"/>
    <col min="4" max="4" width="10.625" style="0" customWidth="1"/>
    <col min="5" max="5" width="11.625" style="0" customWidth="1"/>
    <col min="7" max="7" width="9.875" style="0" customWidth="1"/>
    <col min="9" max="9" width="9.875" style="0" customWidth="1"/>
    <col min="13" max="13" width="10.75390625" style="0" customWidth="1"/>
    <col min="14" max="14" width="10.25390625" style="0" customWidth="1"/>
    <col min="15" max="15" width="11.375" style="0" customWidth="1"/>
  </cols>
  <sheetData>
    <row r="2" ht="18.75">
      <c r="C2" s="83" t="s">
        <v>127</v>
      </c>
    </row>
    <row r="4" spans="1:29" ht="39" customHeight="1">
      <c r="A4" s="8" t="s">
        <v>568</v>
      </c>
      <c r="B4" s="91" t="s">
        <v>124</v>
      </c>
      <c r="C4" s="75" t="s">
        <v>561</v>
      </c>
      <c r="D4" s="75" t="s">
        <v>560</v>
      </c>
      <c r="E4" s="75" t="s">
        <v>11</v>
      </c>
      <c r="F4" s="75" t="s">
        <v>567</v>
      </c>
      <c r="G4" s="75" t="s">
        <v>563</v>
      </c>
      <c r="H4" s="75" t="s">
        <v>569</v>
      </c>
      <c r="I4" s="75" t="s">
        <v>570</v>
      </c>
      <c r="J4" s="75" t="s">
        <v>564</v>
      </c>
      <c r="K4" s="75" t="s">
        <v>565</v>
      </c>
      <c r="L4" s="75" t="s">
        <v>566</v>
      </c>
      <c r="M4" s="75" t="s">
        <v>562</v>
      </c>
      <c r="N4" s="75" t="s">
        <v>12</v>
      </c>
      <c r="O4" s="75" t="s">
        <v>155</v>
      </c>
      <c r="P4" s="76" t="s">
        <v>357</v>
      </c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16" ht="28.5">
      <c r="A5" s="10">
        <v>1</v>
      </c>
      <c r="B5" s="79" t="s">
        <v>122</v>
      </c>
      <c r="C5" s="81">
        <f aca="true" t="shared" si="0" ref="C5:O5">C6+C7</f>
        <v>14787.1</v>
      </c>
      <c r="D5" s="81">
        <f t="shared" si="0"/>
        <v>5962.6</v>
      </c>
      <c r="E5" s="81">
        <f t="shared" si="0"/>
        <v>5731.6</v>
      </c>
      <c r="F5" s="81">
        <f t="shared" si="0"/>
        <v>5235.2</v>
      </c>
      <c r="G5" s="81">
        <f t="shared" si="0"/>
        <v>3402.4</v>
      </c>
      <c r="H5" s="81">
        <f t="shared" si="0"/>
        <v>1969.4</v>
      </c>
      <c r="I5" s="81">
        <f t="shared" si="0"/>
        <v>7463</v>
      </c>
      <c r="J5" s="81">
        <f t="shared" si="0"/>
        <v>5062.3</v>
      </c>
      <c r="K5" s="81">
        <f t="shared" si="0"/>
        <v>2916.4</v>
      </c>
      <c r="L5" s="81">
        <f t="shared" si="0"/>
        <v>4975.4</v>
      </c>
      <c r="M5" s="81">
        <f t="shared" si="0"/>
        <v>4208</v>
      </c>
      <c r="N5" s="81">
        <f t="shared" si="0"/>
        <v>4651.7</v>
      </c>
      <c r="O5" s="81">
        <f t="shared" si="0"/>
        <v>27899</v>
      </c>
      <c r="P5" s="118">
        <f>SUM(D5:O5)</f>
        <v>79477</v>
      </c>
    </row>
    <row r="6" spans="1:15" ht="15.75">
      <c r="A6" s="10">
        <v>2</v>
      </c>
      <c r="B6" s="44" t="s">
        <v>120</v>
      </c>
      <c r="C6" s="22">
        <v>11842</v>
      </c>
      <c r="D6" s="22">
        <v>4918</v>
      </c>
      <c r="E6" s="23">
        <v>4812</v>
      </c>
      <c r="F6" s="22">
        <v>4346</v>
      </c>
      <c r="G6" s="22">
        <v>2814</v>
      </c>
      <c r="H6" s="22">
        <v>1653</v>
      </c>
      <c r="I6" s="23">
        <v>6180</v>
      </c>
      <c r="J6" s="26">
        <v>4192</v>
      </c>
      <c r="K6" s="22">
        <v>2446</v>
      </c>
      <c r="L6" s="22">
        <v>4118</v>
      </c>
      <c r="M6" s="22">
        <v>3495</v>
      </c>
      <c r="N6" s="22">
        <v>3853</v>
      </c>
      <c r="O6" s="22">
        <v>27899</v>
      </c>
    </row>
    <row r="7" spans="1:15" ht="26.25" thickBot="1">
      <c r="A7" s="78">
        <v>3</v>
      </c>
      <c r="B7" s="89" t="s">
        <v>121</v>
      </c>
      <c r="C7" s="80">
        <v>2945.1</v>
      </c>
      <c r="D7" s="80">
        <v>1044.6</v>
      </c>
      <c r="E7" s="80">
        <v>919.6</v>
      </c>
      <c r="F7" s="80">
        <v>889.2</v>
      </c>
      <c r="G7" s="80">
        <v>588.4</v>
      </c>
      <c r="H7" s="80">
        <v>316.4</v>
      </c>
      <c r="I7" s="80">
        <v>1283</v>
      </c>
      <c r="J7" s="80">
        <v>870.3</v>
      </c>
      <c r="K7" s="80">
        <v>470.4</v>
      </c>
      <c r="L7" s="80">
        <v>857.4</v>
      </c>
      <c r="M7" s="80">
        <v>713</v>
      </c>
      <c r="N7" s="80">
        <v>798.7</v>
      </c>
      <c r="O7" s="80"/>
    </row>
    <row r="8" spans="1:15" ht="15.75" thickTop="1">
      <c r="A8" s="77"/>
      <c r="B8" s="87" t="s">
        <v>387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0">
        <f>SUM(C5:N5)</f>
        <v>66365.1</v>
      </c>
    </row>
    <row r="9" spans="1:15" ht="26.25">
      <c r="A9" s="10">
        <v>4</v>
      </c>
      <c r="B9" s="82" t="s">
        <v>123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308.68</v>
      </c>
      <c r="N9" s="27"/>
      <c r="O9" s="27"/>
    </row>
    <row r="10" spans="1:15" ht="26.25">
      <c r="A10" s="10">
        <v>5</v>
      </c>
      <c r="B10" s="82" t="s">
        <v>125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348.608</v>
      </c>
      <c r="N10" s="27"/>
      <c r="O10" s="27"/>
    </row>
    <row r="11" spans="1:15" ht="26.25">
      <c r="A11" s="10">
        <v>6</v>
      </c>
      <c r="B11" s="82" t="s">
        <v>126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363.909</v>
      </c>
      <c r="N11" s="27"/>
      <c r="O11" s="27"/>
    </row>
    <row r="12" spans="1:15" ht="26.25">
      <c r="A12" s="10">
        <v>7</v>
      </c>
      <c r="B12" s="82" t="s">
        <v>128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214.22</v>
      </c>
      <c r="N12" s="27"/>
      <c r="O12" s="27"/>
    </row>
    <row r="13" spans="1:15" ht="26.25">
      <c r="A13" s="10">
        <v>8</v>
      </c>
      <c r="B13" s="82" t="s">
        <v>129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171.08</v>
      </c>
      <c r="N13" s="27"/>
      <c r="O13" s="27"/>
    </row>
    <row r="14" spans="1:15" ht="26.25">
      <c r="A14" s="10">
        <v>9</v>
      </c>
      <c r="B14" s="82" t="s">
        <v>130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520.001</v>
      </c>
      <c r="N14" s="27"/>
      <c r="O14" s="27"/>
    </row>
    <row r="15" spans="1:15" ht="26.25">
      <c r="A15" s="10">
        <v>10</v>
      </c>
      <c r="B15" s="82" t="s">
        <v>131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248.976</v>
      </c>
      <c r="N15" s="27"/>
      <c r="O15" s="27"/>
    </row>
    <row r="16" spans="1:15" ht="26.25">
      <c r="A16" s="10">
        <v>12</v>
      </c>
      <c r="B16" s="82" t="s">
        <v>132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162.344</v>
      </c>
      <c r="N16" s="27"/>
      <c r="O16" s="27"/>
    </row>
    <row r="17" spans="1:15" ht="26.25">
      <c r="A17" s="10">
        <v>13</v>
      </c>
      <c r="B17" s="82" t="s">
        <v>133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238.16</v>
      </c>
      <c r="N17" s="27"/>
      <c r="O17" s="27"/>
    </row>
    <row r="18" spans="1:15" ht="26.25">
      <c r="A18" s="10">
        <v>14</v>
      </c>
      <c r="B18" s="82" t="s">
        <v>134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309.92</v>
      </c>
      <c r="N18" s="27"/>
      <c r="O18" s="27"/>
    </row>
    <row r="19" spans="1:15" ht="26.25">
      <c r="A19" s="10">
        <v>15</v>
      </c>
      <c r="B19" s="82" t="s">
        <v>135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142.896</v>
      </c>
      <c r="N19" s="27"/>
      <c r="O19" s="27"/>
    </row>
    <row r="20" spans="1:15" ht="26.25">
      <c r="A20" s="10">
        <v>16</v>
      </c>
      <c r="B20" s="82" t="s">
        <v>136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408.621</v>
      </c>
      <c r="N20" s="27"/>
      <c r="O20" s="27"/>
    </row>
    <row r="21" spans="1:15" ht="26.25">
      <c r="A21" s="10">
        <v>17</v>
      </c>
      <c r="B21" s="82" t="s">
        <v>137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104</v>
      </c>
      <c r="N21" s="27"/>
      <c r="O21" s="27"/>
    </row>
    <row r="22" spans="1:15" ht="26.25">
      <c r="A22" s="10">
        <v>18</v>
      </c>
      <c r="B22" s="82" t="s">
        <v>138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101.712</v>
      </c>
      <c r="N22" s="27"/>
      <c r="O22" s="27"/>
    </row>
    <row r="23" spans="1:15" ht="15">
      <c r="A23" s="69"/>
      <c r="B23" s="84" t="s">
        <v>386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>
        <f>SUM(M9:M22)</f>
        <v>3643.127</v>
      </c>
      <c r="N23" s="85"/>
      <c r="O23" s="85"/>
    </row>
    <row r="24" spans="1:15" ht="26.25" customHeight="1">
      <c r="A24" s="10">
        <v>1</v>
      </c>
      <c r="B24" s="1" t="s">
        <v>139</v>
      </c>
      <c r="C24" s="27"/>
      <c r="D24" s="116">
        <v>1452.65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7.75" customHeight="1">
      <c r="A25" s="10">
        <v>2</v>
      </c>
      <c r="B25" s="1" t="s">
        <v>140</v>
      </c>
      <c r="C25" s="27"/>
      <c r="D25" s="116">
        <v>537.47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5.5">
      <c r="A26" s="10">
        <v>3</v>
      </c>
      <c r="B26" s="1" t="s">
        <v>141</v>
      </c>
      <c r="C26" s="27"/>
      <c r="D26" s="116">
        <v>684.25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38.25">
      <c r="A27" s="10">
        <v>4</v>
      </c>
      <c r="B27" s="1" t="s">
        <v>142</v>
      </c>
      <c r="C27" s="27"/>
      <c r="D27" s="116">
        <v>731.23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5.5">
      <c r="A28" s="10">
        <v>5</v>
      </c>
      <c r="B28" s="1" t="s">
        <v>143</v>
      </c>
      <c r="C28" s="27"/>
      <c r="D28" s="116">
        <v>2251.09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">
      <c r="A29" s="69"/>
      <c r="B29" s="84" t="s">
        <v>386</v>
      </c>
      <c r="C29" s="85"/>
      <c r="D29" s="86">
        <f>SUM(D24:D28)</f>
        <v>5656.6900000000005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26.25">
      <c r="A30" s="10">
        <v>1</v>
      </c>
      <c r="B30" s="82" t="s">
        <v>145</v>
      </c>
      <c r="C30" s="27"/>
      <c r="D30" s="27"/>
      <c r="E30" s="27"/>
      <c r="F30" s="27"/>
      <c r="G30" s="27"/>
      <c r="H30" s="27"/>
      <c r="I30" s="27">
        <v>1851.158</v>
      </c>
      <c r="J30" s="27"/>
      <c r="K30" s="27"/>
      <c r="L30" s="27"/>
      <c r="M30" s="27"/>
      <c r="N30" s="27"/>
      <c r="O30" s="27"/>
    </row>
    <row r="31" spans="1:15" ht="26.25">
      <c r="A31" s="10">
        <v>2</v>
      </c>
      <c r="B31" s="82" t="s">
        <v>144</v>
      </c>
      <c r="C31" s="27"/>
      <c r="D31" s="27"/>
      <c r="E31" s="27"/>
      <c r="F31" s="27"/>
      <c r="G31" s="27"/>
      <c r="H31" s="27"/>
      <c r="I31" s="27">
        <v>1808.534</v>
      </c>
      <c r="J31" s="27"/>
      <c r="K31" s="27"/>
      <c r="L31" s="27"/>
      <c r="M31" s="27"/>
      <c r="N31" s="27"/>
      <c r="O31" s="27"/>
    </row>
    <row r="32" spans="1:15" ht="26.25">
      <c r="A32" s="10">
        <v>3</v>
      </c>
      <c r="B32" s="82" t="s">
        <v>146</v>
      </c>
      <c r="C32" s="27"/>
      <c r="D32" s="27"/>
      <c r="E32" s="27"/>
      <c r="F32" s="27"/>
      <c r="G32" s="27"/>
      <c r="H32" s="27"/>
      <c r="I32" s="27">
        <v>3019.21</v>
      </c>
      <c r="J32" s="27"/>
      <c r="K32" s="27"/>
      <c r="L32" s="27"/>
      <c r="M32" s="27"/>
      <c r="N32" s="27"/>
      <c r="O32" s="27"/>
    </row>
    <row r="33" spans="1:15" ht="39">
      <c r="A33" s="10">
        <v>4</v>
      </c>
      <c r="B33" s="82" t="s">
        <v>147</v>
      </c>
      <c r="C33" s="27"/>
      <c r="D33" s="27"/>
      <c r="E33" s="27"/>
      <c r="F33" s="27"/>
      <c r="G33" s="27"/>
      <c r="H33" s="27"/>
      <c r="I33" s="27">
        <v>785.341</v>
      </c>
      <c r="J33" s="27"/>
      <c r="K33" s="27"/>
      <c r="L33" s="27"/>
      <c r="M33" s="27"/>
      <c r="N33" s="27"/>
      <c r="O33" s="27"/>
    </row>
    <row r="34" spans="1:15" ht="15">
      <c r="A34" s="69"/>
      <c r="B34" s="84" t="s">
        <v>386</v>
      </c>
      <c r="C34" s="85"/>
      <c r="D34" s="85"/>
      <c r="E34" s="85"/>
      <c r="F34" s="85"/>
      <c r="G34" s="85"/>
      <c r="H34" s="85"/>
      <c r="I34" s="86">
        <f>SUM(I30:I33)</f>
        <v>7464.243</v>
      </c>
      <c r="J34" s="85"/>
      <c r="K34" s="85"/>
      <c r="L34" s="85"/>
      <c r="M34" s="85"/>
      <c r="N34" s="85"/>
      <c r="O34" s="85"/>
    </row>
    <row r="35" spans="1:15" ht="15">
      <c r="A35" s="10"/>
      <c r="B35" s="8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">
      <c r="A36" s="10"/>
      <c r="B36" s="8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">
      <c r="A37" s="10"/>
      <c r="B37" s="8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">
      <c r="A38" s="10"/>
      <c r="B38" s="8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">
      <c r="A39" s="10"/>
      <c r="B39" s="8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">
      <c r="A40" s="10"/>
      <c r="B40" s="8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5">
      <c r="A41" s="10"/>
      <c r="B41" s="8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">
      <c r="A42" s="10"/>
      <c r="B42" s="8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">
      <c r="A43" s="10"/>
      <c r="B43" s="8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5">
      <c r="A44" s="10"/>
      <c r="B44" s="8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">
      <c r="A45" s="10"/>
      <c r="B45" s="8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5">
      <c r="A46" s="10"/>
      <c r="B46" s="8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">
      <c r="A47" s="10"/>
      <c r="B47" s="8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</sheetData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20" sqref="F20"/>
    </sheetView>
  </sheetViews>
  <sheetFormatPr defaultColWidth="9.00390625" defaultRowHeight="12.75"/>
  <cols>
    <col min="1" max="1" width="4.25390625" style="2" customWidth="1"/>
    <col min="2" max="2" width="32.75390625" style="2" customWidth="1"/>
    <col min="3" max="3" width="10.75390625" style="17" customWidth="1"/>
    <col min="4" max="4" width="10.75390625" style="21" customWidth="1"/>
    <col min="5" max="5" width="10.00390625" style="17" customWidth="1"/>
    <col min="6" max="6" width="10.625" style="21" customWidth="1"/>
    <col min="7" max="7" width="11.875" style="20" customWidth="1"/>
    <col min="8" max="8" width="12.00390625" style="20" customWidth="1"/>
    <col min="9" max="9" width="9.625" style="2" customWidth="1"/>
    <col min="10" max="10" width="11.00390625" style="20" customWidth="1"/>
    <col min="11" max="11" width="11.00390625" style="30" customWidth="1"/>
    <col min="12" max="12" width="9.375" style="2" customWidth="1"/>
    <col min="13" max="16384" width="9.125" style="2" customWidth="1"/>
  </cols>
  <sheetData>
    <row r="1" spans="2:12" ht="21.75" customHeight="1">
      <c r="B1" s="153" t="s">
        <v>154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2:12" ht="14.25" customHeight="1">
      <c r="B2" s="11"/>
      <c r="C2" s="14"/>
      <c r="D2" s="14"/>
      <c r="E2" s="14"/>
      <c r="F2" s="14"/>
      <c r="G2" s="18"/>
      <c r="H2" s="18"/>
      <c r="I2" s="11"/>
      <c r="J2" s="18"/>
      <c r="K2" s="18"/>
      <c r="L2" s="12"/>
    </row>
    <row r="3" spans="6:11" ht="12.75">
      <c r="F3" s="21" t="s">
        <v>159</v>
      </c>
      <c r="G3" s="17" t="s">
        <v>159</v>
      </c>
      <c r="H3" s="17" t="s">
        <v>159</v>
      </c>
      <c r="I3" s="2" t="s">
        <v>164</v>
      </c>
      <c r="J3" s="20" t="s">
        <v>164</v>
      </c>
      <c r="K3" s="30" t="s">
        <v>164</v>
      </c>
    </row>
    <row r="4" spans="1:12" s="3" customFormat="1" ht="69.75" customHeight="1">
      <c r="A4" s="8" t="s">
        <v>568</v>
      </c>
      <c r="B4" s="9" t="s">
        <v>267</v>
      </c>
      <c r="C4" s="15" t="s">
        <v>324</v>
      </c>
      <c r="D4" s="15" t="s">
        <v>173</v>
      </c>
      <c r="E4" s="48" t="s">
        <v>160</v>
      </c>
      <c r="F4" s="50" t="s">
        <v>156</v>
      </c>
      <c r="G4" s="50" t="s">
        <v>157</v>
      </c>
      <c r="H4" s="50" t="s">
        <v>158</v>
      </c>
      <c r="I4" s="50" t="s">
        <v>323</v>
      </c>
      <c r="J4" s="50" t="s">
        <v>161</v>
      </c>
      <c r="K4" s="50" t="s">
        <v>162</v>
      </c>
      <c r="L4" s="8" t="s">
        <v>268</v>
      </c>
    </row>
    <row r="5" spans="1:12" ht="31.5" hidden="1">
      <c r="A5" s="10">
        <v>1</v>
      </c>
      <c r="B5" s="5" t="s">
        <v>269</v>
      </c>
      <c r="C5" s="16" t="s">
        <v>270</v>
      </c>
      <c r="D5" s="22"/>
      <c r="E5" s="16" t="s">
        <v>271</v>
      </c>
      <c r="F5" s="22"/>
      <c r="G5" s="13"/>
      <c r="H5" s="13"/>
      <c r="I5" s="5"/>
      <c r="J5" s="13"/>
      <c r="K5" s="31"/>
      <c r="L5" s="4"/>
    </row>
    <row r="6" spans="1:12" ht="47.25" customHeight="1" hidden="1">
      <c r="A6" s="10">
        <v>2</v>
      </c>
      <c r="B6" s="5" t="s">
        <v>272</v>
      </c>
      <c r="C6" s="16">
        <f>0.7+1.7+1.6+0.3+1.2+1.2+1.8</f>
        <v>8.5</v>
      </c>
      <c r="D6" s="22"/>
      <c r="E6" s="16"/>
      <c r="F6" s="22">
        <f>0.9+1.8+2+3.1</f>
        <v>7.800000000000001</v>
      </c>
      <c r="G6" s="13">
        <f>1.1+1.2+1.05+0.7+0.4+0.9+0.6+1+1.2+1+0.3+0.9+0.97+0.5+1.8</f>
        <v>13.620000000000003</v>
      </c>
      <c r="H6" s="13"/>
      <c r="I6" s="5">
        <f>0.45+0.76+0.7+0.8+0.5+0.75+0.75+0.95+0.35+0.65+0.9+0.3+0.7+0.4+0.3+1.7+0.9+1.05</f>
        <v>12.910000000000002</v>
      </c>
      <c r="J6" s="5" t="s">
        <v>274</v>
      </c>
      <c r="K6" s="31"/>
      <c r="L6" s="4"/>
    </row>
    <row r="7" spans="1:12" ht="16.5" customHeight="1">
      <c r="A7" s="10">
        <v>1</v>
      </c>
      <c r="B7" s="43" t="s">
        <v>561</v>
      </c>
      <c r="C7" s="16">
        <v>896</v>
      </c>
      <c r="D7" s="22"/>
      <c r="E7" s="45">
        <v>54162</v>
      </c>
      <c r="F7" s="25">
        <v>11842</v>
      </c>
      <c r="G7" s="13">
        <v>6606</v>
      </c>
      <c r="H7" s="13">
        <v>5960</v>
      </c>
      <c r="I7" s="5"/>
      <c r="J7" s="13"/>
      <c r="K7" s="25"/>
      <c r="L7" s="1"/>
    </row>
    <row r="8" spans="1:12" ht="15.75">
      <c r="A8" s="10">
        <v>2</v>
      </c>
      <c r="B8" s="43" t="s">
        <v>560</v>
      </c>
      <c r="C8" s="13">
        <v>449.5</v>
      </c>
      <c r="D8" s="25"/>
      <c r="E8" s="45">
        <v>13126</v>
      </c>
      <c r="F8" s="25">
        <v>4918</v>
      </c>
      <c r="G8" s="13">
        <v>2743</v>
      </c>
      <c r="H8" s="13">
        <v>2476</v>
      </c>
      <c r="I8" s="5"/>
      <c r="J8" s="60">
        <v>5849</v>
      </c>
      <c r="K8" s="61">
        <v>1000</v>
      </c>
      <c r="L8" s="1"/>
    </row>
    <row r="9" spans="1:12" ht="15.75">
      <c r="A9" s="10">
        <v>3</v>
      </c>
      <c r="B9" s="43" t="s">
        <v>11</v>
      </c>
      <c r="C9" s="19">
        <v>445.3</v>
      </c>
      <c r="D9" s="49">
        <v>607.42</v>
      </c>
      <c r="E9" s="45">
        <v>12177</v>
      </c>
      <c r="F9" s="49">
        <v>4812</v>
      </c>
      <c r="G9" s="19">
        <v>2684</v>
      </c>
      <c r="H9" s="19">
        <v>2422</v>
      </c>
      <c r="I9" s="6"/>
      <c r="J9" s="57"/>
      <c r="K9" s="32"/>
      <c r="L9" s="7"/>
    </row>
    <row r="10" spans="1:12" ht="15.75">
      <c r="A10" s="10">
        <v>4</v>
      </c>
      <c r="B10" s="43" t="s">
        <v>567</v>
      </c>
      <c r="C10" s="13">
        <v>417.1</v>
      </c>
      <c r="D10" s="25"/>
      <c r="E10" s="45">
        <v>9205</v>
      </c>
      <c r="F10" s="25">
        <v>4346</v>
      </c>
      <c r="G10" s="13">
        <v>2425</v>
      </c>
      <c r="H10" s="13">
        <v>2188</v>
      </c>
      <c r="I10" s="53" t="s">
        <v>163</v>
      </c>
      <c r="J10" s="56">
        <f>4300*11092/6174.9</f>
        <v>7724.1088924517</v>
      </c>
      <c r="K10" s="61">
        <f>I10-J10</f>
        <v>3367.8911075483</v>
      </c>
      <c r="L10" s="1"/>
    </row>
    <row r="11" spans="1:12" ht="15.75">
      <c r="A11" s="10">
        <v>5</v>
      </c>
      <c r="B11" s="43" t="s">
        <v>563</v>
      </c>
      <c r="C11" s="13">
        <v>215.9</v>
      </c>
      <c r="D11" s="25"/>
      <c r="E11" s="45">
        <v>12519</v>
      </c>
      <c r="F11" s="25">
        <v>2814</v>
      </c>
      <c r="G11" s="13">
        <v>1570</v>
      </c>
      <c r="H11" s="13">
        <v>1416</v>
      </c>
      <c r="I11" s="53"/>
      <c r="J11" s="56"/>
      <c r="K11" s="25"/>
      <c r="L11" s="1"/>
    </row>
    <row r="12" spans="1:12" ht="15.75">
      <c r="A12" s="10">
        <v>6</v>
      </c>
      <c r="B12" s="43" t="s">
        <v>569</v>
      </c>
      <c r="C12" s="13">
        <v>114</v>
      </c>
      <c r="D12" s="25"/>
      <c r="E12" s="45">
        <v>8893</v>
      </c>
      <c r="F12" s="25">
        <v>1653</v>
      </c>
      <c r="G12" s="13">
        <v>922</v>
      </c>
      <c r="H12" s="13">
        <v>832</v>
      </c>
      <c r="I12" s="53" t="s">
        <v>166</v>
      </c>
      <c r="J12" s="60">
        <v>32297</v>
      </c>
      <c r="K12" s="61">
        <f>I12-J12</f>
        <v>16620</v>
      </c>
      <c r="L12" s="1"/>
    </row>
    <row r="13" spans="1:12" ht="15.75">
      <c r="A13" s="10">
        <v>7</v>
      </c>
      <c r="B13" s="43" t="s">
        <v>570</v>
      </c>
      <c r="C13" s="19">
        <v>492.6</v>
      </c>
      <c r="D13" s="49"/>
      <c r="E13" s="45">
        <v>25229</v>
      </c>
      <c r="F13" s="49">
        <v>6180</v>
      </c>
      <c r="G13" s="19">
        <v>3447</v>
      </c>
      <c r="H13" s="19">
        <v>3111</v>
      </c>
      <c r="I13" s="54" t="s">
        <v>165</v>
      </c>
      <c r="J13" s="57">
        <f>7100*19200/7506</f>
        <v>18161.470823341326</v>
      </c>
      <c r="K13" s="61">
        <f>I13-J13</f>
        <v>1038.5291766586743</v>
      </c>
      <c r="L13" s="7"/>
    </row>
    <row r="14" spans="1:12" ht="17.25" customHeight="1">
      <c r="A14" s="10">
        <v>8</v>
      </c>
      <c r="B14" s="43" t="s">
        <v>564</v>
      </c>
      <c r="C14" s="28">
        <v>351</v>
      </c>
      <c r="D14" s="26">
        <v>374.6</v>
      </c>
      <c r="E14" s="45">
        <v>15076</v>
      </c>
      <c r="F14" s="26">
        <v>4192</v>
      </c>
      <c r="G14" s="29">
        <v>2338</v>
      </c>
      <c r="H14" s="29">
        <v>2110</v>
      </c>
      <c r="I14" s="55"/>
      <c r="J14" s="58"/>
      <c r="K14" s="34"/>
      <c r="L14" s="33"/>
    </row>
    <row r="15" spans="1:12" ht="15.75">
      <c r="A15" s="10">
        <v>9</v>
      </c>
      <c r="B15" s="44" t="s">
        <v>565</v>
      </c>
      <c r="C15" s="16">
        <v>213</v>
      </c>
      <c r="D15" s="22"/>
      <c r="E15" s="45">
        <v>7815</v>
      </c>
      <c r="F15" s="22">
        <v>2446</v>
      </c>
      <c r="G15" s="13">
        <v>1365</v>
      </c>
      <c r="H15" s="13">
        <v>1232</v>
      </c>
      <c r="I15" s="53"/>
      <c r="J15" s="56"/>
      <c r="K15" s="25"/>
      <c r="L15" s="1"/>
    </row>
    <row r="16" spans="1:12" ht="15.75">
      <c r="A16" s="10">
        <v>10</v>
      </c>
      <c r="B16" s="44" t="s">
        <v>566</v>
      </c>
      <c r="C16" s="16">
        <v>337.7</v>
      </c>
      <c r="D16" s="22"/>
      <c r="E16" s="45">
        <v>15678</v>
      </c>
      <c r="F16" s="22">
        <v>4118</v>
      </c>
      <c r="G16" s="13">
        <v>2297</v>
      </c>
      <c r="H16" s="13">
        <v>2073</v>
      </c>
      <c r="I16" s="53"/>
      <c r="J16" s="53"/>
      <c r="K16" s="31"/>
      <c r="L16" s="4"/>
    </row>
    <row r="17" spans="1:12" ht="15.75">
      <c r="A17" s="10">
        <v>11</v>
      </c>
      <c r="B17" s="44" t="s">
        <v>562</v>
      </c>
      <c r="C17" s="16">
        <v>302.8</v>
      </c>
      <c r="D17" s="22"/>
      <c r="E17" s="45">
        <v>11347</v>
      </c>
      <c r="F17" s="22">
        <v>3495</v>
      </c>
      <c r="G17" s="13">
        <v>1950</v>
      </c>
      <c r="H17" s="13">
        <v>1759</v>
      </c>
      <c r="I17" s="51">
        <f>J17+K17</f>
        <v>32101</v>
      </c>
      <c r="J17" s="60">
        <v>24761</v>
      </c>
      <c r="K17" s="61">
        <v>7340</v>
      </c>
      <c r="L17" s="1"/>
    </row>
    <row r="18" spans="1:12" ht="15.75">
      <c r="A18" s="10">
        <v>12</v>
      </c>
      <c r="B18" s="44" t="s">
        <v>12</v>
      </c>
      <c r="C18" s="29">
        <v>327</v>
      </c>
      <c r="D18" s="34"/>
      <c r="E18" s="45">
        <v>13334</v>
      </c>
      <c r="F18" s="34">
        <v>3853</v>
      </c>
      <c r="G18" s="29">
        <v>2149</v>
      </c>
      <c r="H18" s="29">
        <v>1940</v>
      </c>
      <c r="I18" s="52">
        <v>23170</v>
      </c>
      <c r="J18" s="59">
        <v>23170</v>
      </c>
      <c r="K18" s="61">
        <v>0</v>
      </c>
      <c r="L18" s="1"/>
    </row>
    <row r="19" spans="1:12" ht="15.75">
      <c r="A19" s="10">
        <v>13</v>
      </c>
      <c r="B19" s="44" t="s">
        <v>155</v>
      </c>
      <c r="C19" s="29">
        <v>343</v>
      </c>
      <c r="D19" s="34"/>
      <c r="E19" s="45">
        <v>341486</v>
      </c>
      <c r="F19" s="34">
        <v>27899</v>
      </c>
      <c r="G19" s="29">
        <v>15563</v>
      </c>
      <c r="H19" s="29">
        <v>14044</v>
      </c>
      <c r="I19" s="24"/>
      <c r="J19" s="59">
        <f>3820+396517</f>
        <v>400337</v>
      </c>
      <c r="K19" s="61">
        <v>389466</v>
      </c>
      <c r="L19" s="1"/>
    </row>
    <row r="20" spans="1:12" ht="16.5">
      <c r="A20" s="37"/>
      <c r="B20" s="38" t="s">
        <v>370</v>
      </c>
      <c r="C20" s="46">
        <f aca="true" t="shared" si="0" ref="C20:H20">SUM(C7:C19)</f>
        <v>4904.9</v>
      </c>
      <c r="D20" s="46">
        <f t="shared" si="0"/>
        <v>982.02</v>
      </c>
      <c r="E20" s="47">
        <f t="shared" si="0"/>
        <v>540047</v>
      </c>
      <c r="F20" s="46">
        <f t="shared" si="0"/>
        <v>82568</v>
      </c>
      <c r="G20" s="46">
        <f t="shared" si="0"/>
        <v>46059</v>
      </c>
      <c r="H20" s="46">
        <f t="shared" si="0"/>
        <v>41563</v>
      </c>
      <c r="I20" s="42"/>
      <c r="J20" s="36"/>
      <c r="K20" s="39"/>
      <c r="L20" s="40"/>
    </row>
    <row r="23" ht="12.75">
      <c r="H23" s="20">
        <f>7100+406</f>
        <v>7506</v>
      </c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SheetLayoutView="100" workbookViewId="0" topLeftCell="A1">
      <selection activeCell="E6" sqref="E6"/>
    </sheetView>
  </sheetViews>
  <sheetFormatPr defaultColWidth="9.00390625" defaultRowHeight="12.75"/>
  <cols>
    <col min="1" max="1" width="5.625" style="93" customWidth="1"/>
    <col min="2" max="2" width="28.625" style="93" customWidth="1"/>
    <col min="3" max="3" width="8.75390625" style="122" customWidth="1"/>
    <col min="4" max="4" width="8.625" style="73" customWidth="1"/>
    <col min="5" max="5" width="9.00390625" style="73" customWidth="1"/>
    <col min="6" max="6" width="8.00390625" style="73" customWidth="1"/>
    <col min="7" max="7" width="8.375" style="112" customWidth="1"/>
    <col min="8" max="8" width="11.125" style="93" customWidth="1"/>
    <col min="9" max="9" width="9.625" style="93" customWidth="1"/>
    <col min="10" max="10" width="9.375" style="109" hidden="1" customWidth="1"/>
    <col min="11" max="11" width="6.875" style="93" customWidth="1"/>
    <col min="12" max="16384" width="9.125" style="93" customWidth="1"/>
  </cols>
  <sheetData>
    <row r="1" spans="2:11" ht="14.25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4.25" customHeight="1">
      <c r="A2" s="166" t="s">
        <v>598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2:11" ht="14.25" customHeight="1">
      <c r="B3" s="94"/>
      <c r="C3" s="120"/>
      <c r="D3" s="72"/>
      <c r="E3" s="72"/>
      <c r="F3" s="72"/>
      <c r="G3" s="96"/>
      <c r="H3" s="94"/>
      <c r="I3" s="94"/>
      <c r="J3" s="94"/>
      <c r="K3" s="95"/>
    </row>
    <row r="4" spans="1:11" ht="14.25" customHeight="1">
      <c r="A4" s="155" t="s">
        <v>568</v>
      </c>
      <c r="B4" s="157" t="s">
        <v>267</v>
      </c>
      <c r="C4" s="159" t="s">
        <v>273</v>
      </c>
      <c r="D4" s="161" t="s">
        <v>449</v>
      </c>
      <c r="E4" s="162"/>
      <c r="F4" s="162"/>
      <c r="G4" s="163"/>
      <c r="H4" s="164" t="s">
        <v>149</v>
      </c>
      <c r="I4" s="164" t="s">
        <v>454</v>
      </c>
      <c r="J4" s="97" t="s">
        <v>369</v>
      </c>
      <c r="K4" s="155" t="s">
        <v>268</v>
      </c>
    </row>
    <row r="5" spans="1:11" ht="53.25" customHeight="1">
      <c r="A5" s="156"/>
      <c r="B5" s="158"/>
      <c r="C5" s="160"/>
      <c r="D5" s="98" t="s">
        <v>450</v>
      </c>
      <c r="E5" s="98" t="s">
        <v>451</v>
      </c>
      <c r="F5" s="99" t="s">
        <v>452</v>
      </c>
      <c r="G5" s="99" t="s">
        <v>453</v>
      </c>
      <c r="H5" s="165"/>
      <c r="I5" s="165"/>
      <c r="J5" s="100"/>
      <c r="K5" s="156"/>
    </row>
    <row r="6" spans="1:11" ht="31.5">
      <c r="A6" s="140" t="s">
        <v>351</v>
      </c>
      <c r="B6" s="125" t="s">
        <v>398</v>
      </c>
      <c r="C6" s="62">
        <f>D6+E6+F6+G6</f>
        <v>238.21</v>
      </c>
      <c r="D6" s="62">
        <v>33.82</v>
      </c>
      <c r="E6" s="62">
        <v>168.8</v>
      </c>
      <c r="F6" s="62">
        <v>12.66</v>
      </c>
      <c r="G6" s="62">
        <v>22.93</v>
      </c>
      <c r="H6" s="141"/>
      <c r="I6" s="141"/>
      <c r="J6" s="142"/>
      <c r="K6" s="143"/>
    </row>
    <row r="7" spans="1:11" ht="31.5">
      <c r="A7" s="127"/>
      <c r="B7" s="145" t="s">
        <v>326</v>
      </c>
      <c r="C7" s="137">
        <v>132.6</v>
      </c>
      <c r="D7" s="137">
        <v>14.4</v>
      </c>
      <c r="E7" s="137">
        <v>105.6</v>
      </c>
      <c r="F7" s="137">
        <v>4.5</v>
      </c>
      <c r="G7" s="137">
        <v>8.1</v>
      </c>
      <c r="H7" s="128"/>
      <c r="I7" s="128"/>
      <c r="J7" s="100"/>
      <c r="K7" s="127"/>
    </row>
    <row r="8" spans="1:11" ht="15.75">
      <c r="A8" s="127"/>
      <c r="B8" s="145" t="s">
        <v>327</v>
      </c>
      <c r="C8" s="137">
        <f>105.61-C9-C10</f>
        <v>77.9</v>
      </c>
      <c r="D8" s="137">
        <f>19.42-D9-D10</f>
        <v>6.700000000000002</v>
      </c>
      <c r="E8" s="137">
        <f>63.2-E9-E10</f>
        <v>58.8</v>
      </c>
      <c r="F8" s="137">
        <f>8.16-F9-F10</f>
        <v>3.9</v>
      </c>
      <c r="G8" s="137">
        <f>14.83-G9-G10</f>
        <v>8.5</v>
      </c>
      <c r="H8" s="128"/>
      <c r="I8" s="128"/>
      <c r="J8" s="100"/>
      <c r="K8" s="127"/>
    </row>
    <row r="9" spans="1:11" ht="15.75">
      <c r="A9" s="127"/>
      <c r="B9" s="145" t="s">
        <v>341</v>
      </c>
      <c r="C9" s="137">
        <v>13.6</v>
      </c>
      <c r="D9" s="137">
        <v>7.66</v>
      </c>
      <c r="E9" s="137">
        <v>4.2</v>
      </c>
      <c r="F9" s="137">
        <v>1.74</v>
      </c>
      <c r="G9" s="137"/>
      <c r="H9" s="128"/>
      <c r="I9" s="128"/>
      <c r="J9" s="100"/>
      <c r="K9" s="127"/>
    </row>
    <row r="10" spans="1:11" ht="15.75">
      <c r="A10" s="127"/>
      <c r="B10" s="145" t="s">
        <v>342</v>
      </c>
      <c r="C10" s="137">
        <v>14.11</v>
      </c>
      <c r="D10" s="137">
        <v>5.06</v>
      </c>
      <c r="E10" s="137">
        <v>0.2</v>
      </c>
      <c r="F10" s="137">
        <v>2.52</v>
      </c>
      <c r="G10" s="137">
        <v>6.33</v>
      </c>
      <c r="H10" s="128"/>
      <c r="I10" s="128"/>
      <c r="J10" s="100"/>
      <c r="K10" s="127"/>
    </row>
    <row r="11" spans="1:11" ht="15.75">
      <c r="A11" s="140" t="s">
        <v>352</v>
      </c>
      <c r="B11" s="125" t="s">
        <v>94</v>
      </c>
      <c r="C11" s="62">
        <f>D11+E11+F11+G11</f>
        <v>231.6</v>
      </c>
      <c r="D11" s="62">
        <v>27.8</v>
      </c>
      <c r="E11" s="62">
        <v>163.7</v>
      </c>
      <c r="F11" s="62"/>
      <c r="G11" s="62">
        <v>40.1</v>
      </c>
      <c r="H11" s="141"/>
      <c r="I11" s="62" t="s">
        <v>578</v>
      </c>
      <c r="J11" s="142"/>
      <c r="K11" s="143"/>
    </row>
    <row r="12" spans="1:11" ht="31.5">
      <c r="A12" s="127"/>
      <c r="B12" s="145" t="s">
        <v>326</v>
      </c>
      <c r="C12" s="137">
        <v>112.2</v>
      </c>
      <c r="D12" s="28">
        <v>3.2</v>
      </c>
      <c r="E12" s="28">
        <v>91.6</v>
      </c>
      <c r="F12" s="28"/>
      <c r="G12" s="28">
        <v>17.4</v>
      </c>
      <c r="H12" s="128"/>
      <c r="I12" s="128"/>
      <c r="J12" s="100"/>
      <c r="K12" s="127"/>
    </row>
    <row r="13" spans="1:11" ht="15.75">
      <c r="A13" s="127"/>
      <c r="B13" s="145" t="s">
        <v>327</v>
      </c>
      <c r="C13" s="136">
        <f>119.4-C10</f>
        <v>105.29</v>
      </c>
      <c r="D13" s="28">
        <f>24.6-D14</f>
        <v>9.3</v>
      </c>
      <c r="E13" s="28">
        <f>72.1-E14</f>
        <v>67.39999999999999</v>
      </c>
      <c r="F13" s="28"/>
      <c r="G13" s="28">
        <f>22.7-G14</f>
        <v>17.9</v>
      </c>
      <c r="H13" s="128"/>
      <c r="I13" s="128"/>
      <c r="J13" s="100"/>
      <c r="K13" s="127"/>
    </row>
    <row r="14" spans="1:11" ht="15.75">
      <c r="A14" s="127"/>
      <c r="B14" s="145" t="s">
        <v>343</v>
      </c>
      <c r="C14" s="136">
        <v>24.8</v>
      </c>
      <c r="D14" s="28">
        <v>15.3</v>
      </c>
      <c r="E14" s="28">
        <v>4.7</v>
      </c>
      <c r="F14" s="28"/>
      <c r="G14" s="28">
        <v>4.8</v>
      </c>
      <c r="H14" s="128"/>
      <c r="I14" s="128"/>
      <c r="J14" s="100"/>
      <c r="K14" s="127"/>
    </row>
    <row r="15" spans="1:11" ht="15.75">
      <c r="A15" s="140" t="s">
        <v>353</v>
      </c>
      <c r="B15" s="125" t="s">
        <v>93</v>
      </c>
      <c r="C15" s="62">
        <f>D15+E15+F15+G15</f>
        <v>262.79999999999995</v>
      </c>
      <c r="D15" s="62">
        <v>38.8</v>
      </c>
      <c r="E15" s="62">
        <v>119.16</v>
      </c>
      <c r="F15" s="62">
        <v>10.16</v>
      </c>
      <c r="G15" s="62">
        <v>94.68</v>
      </c>
      <c r="H15" s="141"/>
      <c r="I15" s="141"/>
      <c r="J15" s="142"/>
      <c r="K15" s="143"/>
    </row>
    <row r="16" spans="1:11" ht="31.5">
      <c r="A16" s="127"/>
      <c r="B16" s="145" t="s">
        <v>326</v>
      </c>
      <c r="C16" s="137">
        <v>33.7</v>
      </c>
      <c r="D16" s="137">
        <v>3</v>
      </c>
      <c r="E16" s="137">
        <v>3.5</v>
      </c>
      <c r="F16" s="137">
        <v>3.5</v>
      </c>
      <c r="G16" s="137">
        <v>23.7</v>
      </c>
      <c r="H16" s="128"/>
      <c r="I16" s="128"/>
      <c r="J16" s="100"/>
      <c r="K16" s="127"/>
    </row>
    <row r="17" spans="1:11" ht="15.75">
      <c r="A17" s="127"/>
      <c r="B17" s="145" t="s">
        <v>327</v>
      </c>
      <c r="C17" s="136">
        <v>229.1</v>
      </c>
      <c r="D17" s="137">
        <v>35.8</v>
      </c>
      <c r="E17" s="137">
        <v>115.66</v>
      </c>
      <c r="F17" s="137">
        <v>6.66</v>
      </c>
      <c r="G17" s="137">
        <v>70.98</v>
      </c>
      <c r="H17" s="128"/>
      <c r="I17" s="128"/>
      <c r="J17" s="100"/>
      <c r="K17" s="127"/>
    </row>
    <row r="18" spans="1:11" ht="15.75">
      <c r="A18" s="127"/>
      <c r="B18" s="145" t="s">
        <v>340</v>
      </c>
      <c r="C18" s="136"/>
      <c r="D18" s="137"/>
      <c r="E18" s="137"/>
      <c r="F18" s="137"/>
      <c r="G18" s="137"/>
      <c r="H18" s="128"/>
      <c r="I18" s="128"/>
      <c r="J18" s="100"/>
      <c r="K18" s="127"/>
    </row>
    <row r="19" spans="1:11" ht="15.75">
      <c r="A19" s="140" t="s">
        <v>354</v>
      </c>
      <c r="B19" s="125" t="s">
        <v>399</v>
      </c>
      <c r="C19" s="62">
        <f>D19+E19+F19+G19</f>
        <v>758.5999999999999</v>
      </c>
      <c r="D19" s="62">
        <v>172.6</v>
      </c>
      <c r="E19" s="62">
        <v>451.2</v>
      </c>
      <c r="F19" s="62">
        <v>1</v>
      </c>
      <c r="G19" s="62">
        <v>133.8</v>
      </c>
      <c r="H19" s="64" t="s">
        <v>575</v>
      </c>
      <c r="I19" s="144"/>
      <c r="J19" s="142"/>
      <c r="K19" s="143"/>
    </row>
    <row r="20" spans="1:11" ht="31.5">
      <c r="A20" s="117"/>
      <c r="B20" s="145" t="s">
        <v>326</v>
      </c>
      <c r="C20" s="138">
        <v>287.9</v>
      </c>
      <c r="D20" s="138">
        <v>36</v>
      </c>
      <c r="E20" s="138">
        <v>198.7</v>
      </c>
      <c r="F20" s="138"/>
      <c r="G20" s="138">
        <v>53.2</v>
      </c>
      <c r="H20" s="24" t="s">
        <v>573</v>
      </c>
      <c r="I20" s="97"/>
      <c r="J20" s="100"/>
      <c r="K20" s="127"/>
    </row>
    <row r="21" spans="1:11" ht="15.75">
      <c r="A21" s="117"/>
      <c r="B21" s="145" t="s">
        <v>327</v>
      </c>
      <c r="C21" s="138">
        <f>471.3-C22-C23-C24-C25</f>
        <v>350.00000000000006</v>
      </c>
      <c r="D21" s="138">
        <f>136.6-D22-D23-D24-D25</f>
        <v>72.5</v>
      </c>
      <c r="E21" s="138">
        <v>233.2</v>
      </c>
      <c r="F21" s="138">
        <v>1</v>
      </c>
      <c r="G21" s="138">
        <f>80.6-G22-G23-G24-G25</f>
        <v>43.3</v>
      </c>
      <c r="H21" s="24" t="s">
        <v>574</v>
      </c>
      <c r="I21" s="97"/>
      <c r="J21" s="100"/>
      <c r="K21" s="127"/>
    </row>
    <row r="22" spans="1:11" ht="15.75">
      <c r="A22" s="117"/>
      <c r="B22" s="145" t="s">
        <v>336</v>
      </c>
      <c r="C22" s="138">
        <v>69.3</v>
      </c>
      <c r="D22" s="138">
        <v>32.3</v>
      </c>
      <c r="E22" s="138">
        <v>10.6</v>
      </c>
      <c r="F22" s="138"/>
      <c r="G22" s="138">
        <v>26.4</v>
      </c>
      <c r="H22" s="43"/>
      <c r="I22" s="97"/>
      <c r="J22" s="100"/>
      <c r="K22" s="127"/>
    </row>
    <row r="23" spans="1:11" ht="15.75">
      <c r="A23" s="117"/>
      <c r="B23" s="145" t="s">
        <v>339</v>
      </c>
      <c r="C23" s="138">
        <v>8.7</v>
      </c>
      <c r="D23" s="138">
        <v>8.7</v>
      </c>
      <c r="E23" s="138"/>
      <c r="F23" s="138"/>
      <c r="G23" s="138"/>
      <c r="H23" s="43"/>
      <c r="I23" s="97"/>
      <c r="J23" s="100"/>
      <c r="K23" s="127"/>
    </row>
    <row r="24" spans="1:11" ht="15.75">
      <c r="A24" s="117"/>
      <c r="B24" s="145" t="s">
        <v>337</v>
      </c>
      <c r="C24" s="138">
        <v>25.4</v>
      </c>
      <c r="D24" s="138">
        <v>18</v>
      </c>
      <c r="E24" s="138">
        <v>6.2</v>
      </c>
      <c r="F24" s="138"/>
      <c r="G24" s="138">
        <v>1.2</v>
      </c>
      <c r="H24" s="43"/>
      <c r="I24" s="97"/>
      <c r="J24" s="100"/>
      <c r="K24" s="127"/>
    </row>
    <row r="25" spans="1:11" ht="15.75">
      <c r="A25" s="117"/>
      <c r="B25" s="145" t="s">
        <v>338</v>
      </c>
      <c r="C25" s="138">
        <v>17.9</v>
      </c>
      <c r="D25" s="138">
        <v>5.1</v>
      </c>
      <c r="E25" s="138">
        <v>2.5</v>
      </c>
      <c r="F25" s="138"/>
      <c r="G25" s="138">
        <v>9.7</v>
      </c>
      <c r="H25" s="43"/>
      <c r="I25" s="97"/>
      <c r="J25" s="100"/>
      <c r="K25" s="127"/>
    </row>
    <row r="26" spans="1:11" ht="15.75">
      <c r="A26" s="140" t="s">
        <v>355</v>
      </c>
      <c r="B26" s="125" t="s">
        <v>400</v>
      </c>
      <c r="C26" s="62">
        <f>D26+E26+F26+G26</f>
        <v>250</v>
      </c>
      <c r="D26" s="62">
        <v>54.1</v>
      </c>
      <c r="E26" s="62">
        <v>97.6</v>
      </c>
      <c r="F26" s="62"/>
      <c r="G26" s="62">
        <v>98.3</v>
      </c>
      <c r="H26" s="64"/>
      <c r="I26" s="144"/>
      <c r="J26" s="142"/>
      <c r="K26" s="143"/>
    </row>
    <row r="27" spans="1:11" ht="31.5">
      <c r="A27" s="117"/>
      <c r="B27" s="135" t="s">
        <v>326</v>
      </c>
      <c r="C27" s="138">
        <v>100.2</v>
      </c>
      <c r="D27" s="28">
        <v>8.8</v>
      </c>
      <c r="E27" s="28">
        <v>44.3</v>
      </c>
      <c r="F27" s="28"/>
      <c r="G27" s="28">
        <v>47.1</v>
      </c>
      <c r="H27" s="43"/>
      <c r="I27" s="97"/>
      <c r="J27" s="100"/>
      <c r="K27" s="127"/>
    </row>
    <row r="28" spans="1:11" ht="15.75">
      <c r="A28" s="117"/>
      <c r="B28" s="145" t="s">
        <v>327</v>
      </c>
      <c r="C28" s="138">
        <f>149.8-C29</f>
        <v>138</v>
      </c>
      <c r="D28" s="28">
        <f>45.3-D29</f>
        <v>37.699999999999996</v>
      </c>
      <c r="E28" s="28">
        <f>53.3-E29</f>
        <v>50.199999999999996</v>
      </c>
      <c r="F28" s="28"/>
      <c r="G28" s="28">
        <f>51.2-G29</f>
        <v>50.1</v>
      </c>
      <c r="H28" s="43"/>
      <c r="I28" s="97"/>
      <c r="J28" s="100"/>
      <c r="K28" s="127"/>
    </row>
    <row r="29" spans="1:11" ht="15.75">
      <c r="A29" s="117"/>
      <c r="B29" s="145" t="s">
        <v>335</v>
      </c>
      <c r="C29" s="138">
        <v>11.8</v>
      </c>
      <c r="D29" s="28">
        <v>7.6</v>
      </c>
      <c r="E29" s="28">
        <v>3.1</v>
      </c>
      <c r="F29" s="28"/>
      <c r="G29" s="28">
        <v>1.1</v>
      </c>
      <c r="H29" s="43"/>
      <c r="I29" s="97"/>
      <c r="J29" s="100"/>
      <c r="K29" s="127"/>
    </row>
    <row r="30" spans="1:11" ht="15.75">
      <c r="A30" s="140" t="s">
        <v>401</v>
      </c>
      <c r="B30" s="125" t="s">
        <v>572</v>
      </c>
      <c r="C30" s="62">
        <f>D30+E30+F30+G30</f>
        <v>297.4</v>
      </c>
      <c r="D30" s="62">
        <v>4.55</v>
      </c>
      <c r="E30" s="62">
        <v>111.1</v>
      </c>
      <c r="F30" s="62">
        <v>2.9</v>
      </c>
      <c r="G30" s="62">
        <v>178.85</v>
      </c>
      <c r="H30" s="64"/>
      <c r="I30" s="144"/>
      <c r="J30" s="142"/>
      <c r="K30" s="143"/>
    </row>
    <row r="31" spans="1:11" ht="31.5">
      <c r="A31" s="117"/>
      <c r="B31" s="135" t="s">
        <v>326</v>
      </c>
      <c r="C31" s="138">
        <v>135.9</v>
      </c>
      <c r="D31" s="28"/>
      <c r="E31" s="28">
        <v>76.8</v>
      </c>
      <c r="F31" s="28"/>
      <c r="G31" s="28">
        <v>59.1</v>
      </c>
      <c r="H31" s="43"/>
      <c r="I31" s="97"/>
      <c r="J31" s="100"/>
      <c r="K31" s="127"/>
    </row>
    <row r="32" spans="1:11" ht="15.75">
      <c r="A32" s="117"/>
      <c r="B32" s="145" t="s">
        <v>327</v>
      </c>
      <c r="C32" s="138">
        <f>161.5-C33</f>
        <v>149.8</v>
      </c>
      <c r="D32" s="28">
        <f>4.55-D33</f>
        <v>2.4</v>
      </c>
      <c r="E32" s="28">
        <f>34.3-E33</f>
        <v>33.199999999999996</v>
      </c>
      <c r="F32" s="28">
        <f>2.9-F33</f>
        <v>2.5</v>
      </c>
      <c r="G32" s="28">
        <f>119.75-G33</f>
        <v>111.7</v>
      </c>
      <c r="H32" s="43"/>
      <c r="I32" s="97"/>
      <c r="J32" s="100"/>
      <c r="K32" s="127"/>
    </row>
    <row r="33" spans="1:11" ht="15.75">
      <c r="A33" s="117"/>
      <c r="B33" s="145" t="s">
        <v>334</v>
      </c>
      <c r="C33" s="138">
        <v>11.7</v>
      </c>
      <c r="D33" s="28">
        <v>2.15</v>
      </c>
      <c r="E33" s="28">
        <v>1.1</v>
      </c>
      <c r="F33" s="28">
        <v>0.4</v>
      </c>
      <c r="G33" s="28">
        <v>8.05</v>
      </c>
      <c r="H33" s="43"/>
      <c r="I33" s="97"/>
      <c r="J33" s="100"/>
      <c r="K33" s="127"/>
    </row>
    <row r="34" spans="1:11" ht="15.75">
      <c r="A34" s="140" t="s">
        <v>356</v>
      </c>
      <c r="B34" s="125" t="s">
        <v>86</v>
      </c>
      <c r="C34" s="62">
        <f>D34+E34+F34+G34</f>
        <v>489.30999999999995</v>
      </c>
      <c r="D34" s="62">
        <v>57.51</v>
      </c>
      <c r="E34" s="62">
        <v>283.65</v>
      </c>
      <c r="F34" s="62">
        <v>119.68</v>
      </c>
      <c r="G34" s="62">
        <v>28.47</v>
      </c>
      <c r="H34" s="64" t="s">
        <v>579</v>
      </c>
      <c r="I34" s="64" t="s">
        <v>580</v>
      </c>
      <c r="J34" s="142"/>
      <c r="K34" s="143"/>
    </row>
    <row r="35" spans="1:11" ht="31.5">
      <c r="A35" s="117"/>
      <c r="B35" s="135" t="s">
        <v>326</v>
      </c>
      <c r="C35" s="139">
        <v>243.63</v>
      </c>
      <c r="D35" s="139">
        <v>35.86</v>
      </c>
      <c r="E35" s="139">
        <v>103.65</v>
      </c>
      <c r="F35" s="139">
        <v>90.1</v>
      </c>
      <c r="G35" s="139">
        <v>14.02</v>
      </c>
      <c r="H35" s="24" t="s">
        <v>582</v>
      </c>
      <c r="I35" s="24" t="s">
        <v>581</v>
      </c>
      <c r="J35" s="100"/>
      <c r="K35" s="127"/>
    </row>
    <row r="36" spans="1:11" ht="15.75">
      <c r="A36" s="117"/>
      <c r="B36" s="135" t="s">
        <v>327</v>
      </c>
      <c r="C36" s="139">
        <v>245.7</v>
      </c>
      <c r="D36" s="139">
        <v>21.65</v>
      </c>
      <c r="E36" s="139">
        <v>180</v>
      </c>
      <c r="F36" s="139">
        <v>29.58</v>
      </c>
      <c r="G36" s="139">
        <v>14.45</v>
      </c>
      <c r="H36" s="24" t="s">
        <v>583</v>
      </c>
      <c r="I36" s="24" t="s">
        <v>88</v>
      </c>
      <c r="J36" s="100"/>
      <c r="K36" s="127"/>
    </row>
    <row r="37" spans="1:11" ht="15.75">
      <c r="A37" s="140" t="s">
        <v>412</v>
      </c>
      <c r="B37" s="125" t="s">
        <v>402</v>
      </c>
      <c r="C37" s="62">
        <f>D37+E37+F37+G37</f>
        <v>387.80000000000007</v>
      </c>
      <c r="D37" s="62">
        <v>24.35</v>
      </c>
      <c r="E37" s="62">
        <v>296.6</v>
      </c>
      <c r="F37" s="62"/>
      <c r="G37" s="62">
        <v>66.85</v>
      </c>
      <c r="H37" s="64" t="s">
        <v>411</v>
      </c>
      <c r="I37" s="64" t="s">
        <v>410</v>
      </c>
      <c r="J37" s="142"/>
      <c r="K37" s="143"/>
    </row>
    <row r="38" spans="1:11" ht="31.5">
      <c r="A38" s="117"/>
      <c r="B38" s="145" t="s">
        <v>326</v>
      </c>
      <c r="C38" s="138">
        <v>199.2</v>
      </c>
      <c r="D38" s="138"/>
      <c r="E38" s="138">
        <v>173.2</v>
      </c>
      <c r="F38" s="138"/>
      <c r="G38" s="138">
        <v>26</v>
      </c>
      <c r="H38" s="33"/>
      <c r="I38" s="43"/>
      <c r="J38" s="100"/>
      <c r="K38" s="127"/>
    </row>
    <row r="39" spans="1:11" ht="15.75">
      <c r="A39" s="117"/>
      <c r="B39" s="145" t="s">
        <v>327</v>
      </c>
      <c r="C39" s="138">
        <v>171.5</v>
      </c>
      <c r="D39" s="28">
        <f>24.35-D40</f>
        <v>14.400000000000002</v>
      </c>
      <c r="E39" s="28">
        <v>117.2</v>
      </c>
      <c r="F39" s="28"/>
      <c r="G39" s="28">
        <f>40.85-G40</f>
        <v>39.9</v>
      </c>
      <c r="H39" s="43"/>
      <c r="I39" s="43"/>
      <c r="J39" s="100"/>
      <c r="K39" s="127"/>
    </row>
    <row r="40" spans="1:11" ht="15.75">
      <c r="A40" s="117"/>
      <c r="B40" s="145" t="s">
        <v>333</v>
      </c>
      <c r="C40" s="138">
        <v>17.1</v>
      </c>
      <c r="D40" s="28">
        <v>9.95</v>
      </c>
      <c r="E40" s="28">
        <v>6.2</v>
      </c>
      <c r="F40" s="28"/>
      <c r="G40" s="28">
        <v>0.95</v>
      </c>
      <c r="H40" s="43"/>
      <c r="I40" s="43"/>
      <c r="J40" s="100"/>
      <c r="K40" s="127"/>
    </row>
    <row r="41" spans="1:11" ht="31.5">
      <c r="A41" s="140" t="s">
        <v>403</v>
      </c>
      <c r="B41" s="125" t="s">
        <v>404</v>
      </c>
      <c r="C41" s="62">
        <f>D41+E41+F41+G41</f>
        <v>177.78000000000003</v>
      </c>
      <c r="D41" s="62">
        <v>79.58</v>
      </c>
      <c r="E41" s="62">
        <v>65.4</v>
      </c>
      <c r="F41" s="62">
        <v>3.4</v>
      </c>
      <c r="G41" s="62">
        <v>29.4</v>
      </c>
      <c r="H41" s="64" t="s">
        <v>584</v>
      </c>
      <c r="I41" s="64" t="s">
        <v>585</v>
      </c>
      <c r="J41" s="142"/>
      <c r="K41" s="143"/>
    </row>
    <row r="42" spans="1:11" ht="31.5">
      <c r="A42" s="117"/>
      <c r="B42" s="135" t="s">
        <v>326</v>
      </c>
      <c r="C42" s="138">
        <v>51.1</v>
      </c>
      <c r="D42" s="28">
        <v>10.6</v>
      </c>
      <c r="E42" s="28">
        <v>21.5</v>
      </c>
      <c r="F42" s="28">
        <v>1.5</v>
      </c>
      <c r="G42" s="28">
        <v>17.5</v>
      </c>
      <c r="H42" s="24" t="s">
        <v>590</v>
      </c>
      <c r="I42" s="151"/>
      <c r="J42" s="100"/>
      <c r="K42" s="127"/>
    </row>
    <row r="43" spans="1:11" ht="15.75">
      <c r="A43" s="117"/>
      <c r="B43" s="145" t="s">
        <v>327</v>
      </c>
      <c r="C43" s="138">
        <v>108</v>
      </c>
      <c r="D43" s="28">
        <v>50.3</v>
      </c>
      <c r="E43" s="28">
        <v>43.9</v>
      </c>
      <c r="F43" s="28">
        <v>1.9</v>
      </c>
      <c r="G43" s="28">
        <v>11.9</v>
      </c>
      <c r="H43" s="24" t="s">
        <v>589</v>
      </c>
      <c r="I43" s="24" t="s">
        <v>588</v>
      </c>
      <c r="J43" s="100"/>
      <c r="K43" s="127"/>
    </row>
    <row r="44" spans="1:11" ht="15.75">
      <c r="A44" s="117"/>
      <c r="B44" s="145" t="s">
        <v>328</v>
      </c>
      <c r="C44" s="138">
        <v>18.68</v>
      </c>
      <c r="D44" s="28">
        <v>18.68</v>
      </c>
      <c r="E44" s="28">
        <f>SUM(E19:E25)</f>
        <v>902.4</v>
      </c>
      <c r="F44" s="28"/>
      <c r="G44" s="28"/>
      <c r="H44" s="24" t="s">
        <v>586</v>
      </c>
      <c r="I44" s="24" t="s">
        <v>587</v>
      </c>
      <c r="J44" s="100"/>
      <c r="K44" s="127"/>
    </row>
    <row r="45" spans="1:11" ht="15.75">
      <c r="A45" s="140" t="s">
        <v>405</v>
      </c>
      <c r="B45" s="125" t="s">
        <v>87</v>
      </c>
      <c r="C45" s="62">
        <f>D45+E45+F45+G45</f>
        <v>543.3399999999999</v>
      </c>
      <c r="D45" s="62">
        <v>68.64</v>
      </c>
      <c r="E45" s="62">
        <v>399.2</v>
      </c>
      <c r="F45" s="62">
        <v>2.7</v>
      </c>
      <c r="G45" s="62">
        <v>72.8</v>
      </c>
      <c r="H45" s="64" t="s">
        <v>577</v>
      </c>
      <c r="I45" s="64" t="s">
        <v>576</v>
      </c>
      <c r="J45" s="142"/>
      <c r="K45" s="143"/>
    </row>
    <row r="46" spans="1:11" ht="31.5">
      <c r="A46" s="117"/>
      <c r="B46" s="135" t="s">
        <v>326</v>
      </c>
      <c r="C46" s="138">
        <v>279</v>
      </c>
      <c r="D46" s="28">
        <v>25.6</v>
      </c>
      <c r="E46" s="28">
        <v>187.8</v>
      </c>
      <c r="F46" s="28">
        <v>0.7</v>
      </c>
      <c r="G46" s="28">
        <v>64.9</v>
      </c>
      <c r="H46" s="43"/>
      <c r="I46" s="97"/>
      <c r="J46" s="100"/>
      <c r="K46" s="127"/>
    </row>
    <row r="47" spans="1:11" ht="15.75">
      <c r="A47" s="117"/>
      <c r="B47" s="145" t="s">
        <v>327</v>
      </c>
      <c r="C47" s="138">
        <f>SUM(D47:G47)</f>
        <v>236.84</v>
      </c>
      <c r="D47" s="28">
        <f>30.84-8.3</f>
        <v>22.54</v>
      </c>
      <c r="E47" s="28">
        <f>211.4-6</f>
        <v>205.4</v>
      </c>
      <c r="F47" s="28">
        <v>2</v>
      </c>
      <c r="G47" s="28">
        <v>6.9</v>
      </c>
      <c r="H47" s="43"/>
      <c r="I47" s="97"/>
      <c r="J47" s="100"/>
      <c r="K47" s="127"/>
    </row>
    <row r="48" spans="1:11" ht="15.75">
      <c r="A48" s="117"/>
      <c r="B48" s="145" t="s">
        <v>329</v>
      </c>
      <c r="C48" s="138">
        <v>12.2</v>
      </c>
      <c r="D48" s="28">
        <v>12.2</v>
      </c>
      <c r="E48" s="28"/>
      <c r="F48" s="28"/>
      <c r="G48" s="28"/>
      <c r="H48" s="43"/>
      <c r="I48" s="97"/>
      <c r="J48" s="100"/>
      <c r="K48" s="127"/>
    </row>
    <row r="49" spans="1:11" ht="15.75">
      <c r="A49" s="117"/>
      <c r="B49" s="145" t="s">
        <v>330</v>
      </c>
      <c r="C49" s="138">
        <f>SUM(D49:G49)</f>
        <v>15.3</v>
      </c>
      <c r="D49" s="28">
        <v>8.3</v>
      </c>
      <c r="E49" s="28">
        <v>6</v>
      </c>
      <c r="F49" s="28"/>
      <c r="G49" s="28">
        <v>1</v>
      </c>
      <c r="H49" s="43"/>
      <c r="I49" s="97"/>
      <c r="J49" s="100"/>
      <c r="K49" s="127"/>
    </row>
    <row r="50" spans="1:11" ht="15.75">
      <c r="A50" s="140" t="s">
        <v>406</v>
      </c>
      <c r="B50" s="125" t="s">
        <v>407</v>
      </c>
      <c r="C50" s="62">
        <f>D50+E50+F50+G50</f>
        <v>303.8</v>
      </c>
      <c r="D50" s="62">
        <v>33.66</v>
      </c>
      <c r="E50" s="62">
        <v>181.02</v>
      </c>
      <c r="F50" s="62"/>
      <c r="G50" s="62">
        <v>89.12</v>
      </c>
      <c r="H50" s="64"/>
      <c r="I50" s="144"/>
      <c r="J50" s="142"/>
      <c r="K50" s="143"/>
    </row>
    <row r="51" spans="1:11" ht="31.5">
      <c r="A51" s="117"/>
      <c r="B51" s="145" t="s">
        <v>326</v>
      </c>
      <c r="C51" s="138">
        <v>116.4</v>
      </c>
      <c r="D51" s="28">
        <v>3.4</v>
      </c>
      <c r="E51" s="28">
        <v>56.1</v>
      </c>
      <c r="F51" s="28"/>
      <c r="G51" s="28">
        <v>56.9</v>
      </c>
      <c r="H51" s="43"/>
      <c r="I51" s="97"/>
      <c r="J51" s="100"/>
      <c r="K51" s="127"/>
    </row>
    <row r="52" spans="1:11" ht="15.75">
      <c r="A52" s="117"/>
      <c r="B52" s="145" t="s">
        <v>327</v>
      </c>
      <c r="C52" s="138">
        <v>149.59</v>
      </c>
      <c r="D52" s="28">
        <f>30.26-D53</f>
        <v>11.900000000000002</v>
      </c>
      <c r="E52" s="28">
        <f>124.92-E53</f>
        <v>110.22</v>
      </c>
      <c r="F52" s="28"/>
      <c r="G52" s="28">
        <v>27.47</v>
      </c>
      <c r="H52" s="43"/>
      <c r="I52" s="97"/>
      <c r="J52" s="100"/>
      <c r="K52" s="127"/>
    </row>
    <row r="53" spans="1:11" ht="15.75">
      <c r="A53" s="117"/>
      <c r="B53" s="145" t="s">
        <v>331</v>
      </c>
      <c r="C53" s="138">
        <v>37.81</v>
      </c>
      <c r="D53" s="28">
        <v>18.36</v>
      </c>
      <c r="E53" s="28">
        <v>14.7</v>
      </c>
      <c r="F53" s="28"/>
      <c r="G53" s="28">
        <v>4.75</v>
      </c>
      <c r="H53" s="43"/>
      <c r="I53" s="97"/>
      <c r="J53" s="100"/>
      <c r="K53" s="127"/>
    </row>
    <row r="54" spans="1:11" ht="31.5">
      <c r="A54" s="140" t="s">
        <v>408</v>
      </c>
      <c r="B54" s="125" t="s">
        <v>409</v>
      </c>
      <c r="C54" s="62">
        <f>D54+E54+F54+G54</f>
        <v>387.5</v>
      </c>
      <c r="D54" s="62">
        <v>77.3</v>
      </c>
      <c r="E54" s="62">
        <v>254.8</v>
      </c>
      <c r="F54" s="62">
        <v>0.9</v>
      </c>
      <c r="G54" s="62">
        <v>54.5</v>
      </c>
      <c r="H54" s="64"/>
      <c r="I54" s="144"/>
      <c r="J54" s="142"/>
      <c r="K54" s="143"/>
    </row>
    <row r="55" spans="1:11" ht="31.5">
      <c r="A55" s="127"/>
      <c r="B55" s="135" t="s">
        <v>326</v>
      </c>
      <c r="C55" s="136">
        <v>129.5</v>
      </c>
      <c r="D55" s="136">
        <v>5.6</v>
      </c>
      <c r="E55" s="136">
        <v>92.8</v>
      </c>
      <c r="F55" s="136"/>
      <c r="G55" s="136">
        <v>31.1</v>
      </c>
      <c r="H55" s="128"/>
      <c r="I55" s="128"/>
      <c r="J55" s="100"/>
      <c r="K55" s="127"/>
    </row>
    <row r="56" spans="1:11" ht="15.75">
      <c r="A56" s="127"/>
      <c r="B56" s="145" t="s">
        <v>327</v>
      </c>
      <c r="C56" s="137">
        <f>258.27-C57</f>
        <v>126.86999999999998</v>
      </c>
      <c r="D56" s="137">
        <f>71.77-D57</f>
        <v>11.669999999999995</v>
      </c>
      <c r="E56" s="137">
        <v>90.7</v>
      </c>
      <c r="F56" s="137">
        <v>0.9</v>
      </c>
      <c r="G56" s="137">
        <v>23.4</v>
      </c>
      <c r="H56" s="128"/>
      <c r="I56" s="128"/>
      <c r="J56" s="100"/>
      <c r="K56" s="127"/>
    </row>
    <row r="57" spans="1:11" ht="15.75">
      <c r="A57" s="127"/>
      <c r="B57" s="145" t="s">
        <v>332</v>
      </c>
      <c r="C57" s="137">
        <v>131.4</v>
      </c>
      <c r="D57" s="137">
        <v>60.1</v>
      </c>
      <c r="E57" s="137">
        <v>71.3</v>
      </c>
      <c r="F57" s="137"/>
      <c r="G57" s="137"/>
      <c r="H57" s="128"/>
      <c r="I57" s="128"/>
      <c r="J57" s="100"/>
      <c r="K57" s="127"/>
    </row>
    <row r="58" spans="1:11" ht="31.5" customHeight="1">
      <c r="A58" s="129">
        <v>13</v>
      </c>
      <c r="B58" s="123" t="s">
        <v>561</v>
      </c>
      <c r="C58" s="62">
        <f>D58+E58+F58+G58</f>
        <v>848.9000000000001</v>
      </c>
      <c r="D58" s="62">
        <f>D59+D66+D85</f>
        <v>171.10000000000002</v>
      </c>
      <c r="E58" s="62">
        <f>E59+E66+E85</f>
        <v>539.9200000000001</v>
      </c>
      <c r="F58" s="62">
        <f>F59+F66+F85</f>
        <v>45.38</v>
      </c>
      <c r="G58" s="62">
        <v>92.5</v>
      </c>
      <c r="H58" s="64" t="s">
        <v>280</v>
      </c>
      <c r="I58" s="64" t="s">
        <v>2</v>
      </c>
      <c r="J58" s="64"/>
      <c r="K58" s="63"/>
    </row>
    <row r="59" spans="1:11" ht="19.5" customHeight="1">
      <c r="A59" s="101" t="s">
        <v>517</v>
      </c>
      <c r="B59" s="24" t="s">
        <v>85</v>
      </c>
      <c r="C59" s="119">
        <f>D59+E59+F59+G59</f>
        <v>5.4</v>
      </c>
      <c r="D59" s="29">
        <v>5.4</v>
      </c>
      <c r="E59" s="29"/>
      <c r="F59" s="29"/>
      <c r="G59" s="29"/>
      <c r="H59" s="24"/>
      <c r="I59" s="24"/>
      <c r="J59" s="102"/>
      <c r="K59" s="33"/>
    </row>
    <row r="60" spans="1:11" ht="19.5" customHeight="1" hidden="1">
      <c r="A60" s="101"/>
      <c r="B60" s="24" t="s">
        <v>345</v>
      </c>
      <c r="C60" s="119">
        <f aca="true" t="shared" si="0" ref="C60:C65">D60+E60+F60+G60</f>
        <v>0.77</v>
      </c>
      <c r="D60" s="29">
        <v>0.77</v>
      </c>
      <c r="E60" s="29"/>
      <c r="F60" s="29"/>
      <c r="G60" s="29"/>
      <c r="H60" s="24"/>
      <c r="I60" s="24"/>
      <c r="J60" s="102"/>
      <c r="K60" s="33"/>
    </row>
    <row r="61" spans="1:11" ht="19.5" customHeight="1" hidden="1">
      <c r="A61" s="101"/>
      <c r="B61" s="24" t="s">
        <v>346</v>
      </c>
      <c r="C61" s="119">
        <f t="shared" si="0"/>
        <v>0.87</v>
      </c>
      <c r="D61" s="29">
        <v>0.87</v>
      </c>
      <c r="E61" s="29"/>
      <c r="F61" s="29"/>
      <c r="G61" s="29"/>
      <c r="H61" s="24"/>
      <c r="I61" s="24"/>
      <c r="J61" s="102"/>
      <c r="K61" s="33"/>
    </row>
    <row r="62" spans="1:11" ht="19.5" customHeight="1" hidden="1">
      <c r="A62" s="101"/>
      <c r="B62" s="24" t="s">
        <v>347</v>
      </c>
      <c r="C62" s="119">
        <f t="shared" si="0"/>
        <v>1.47</v>
      </c>
      <c r="D62" s="29">
        <v>1.47</v>
      </c>
      <c r="E62" s="29"/>
      <c r="F62" s="29"/>
      <c r="G62" s="29"/>
      <c r="H62" s="24"/>
      <c r="I62" s="24"/>
      <c r="J62" s="102"/>
      <c r="K62" s="33"/>
    </row>
    <row r="63" spans="1:11" ht="19.5" customHeight="1" hidden="1">
      <c r="A63" s="101"/>
      <c r="B63" s="24" t="s">
        <v>348</v>
      </c>
      <c r="C63" s="119">
        <f t="shared" si="0"/>
        <v>0.29</v>
      </c>
      <c r="D63" s="29">
        <v>0.29</v>
      </c>
      <c r="E63" s="29"/>
      <c r="F63" s="29"/>
      <c r="G63" s="29"/>
      <c r="H63" s="24"/>
      <c r="I63" s="24"/>
      <c r="J63" s="102"/>
      <c r="K63" s="33"/>
    </row>
    <row r="64" spans="1:11" ht="19.5" customHeight="1" hidden="1">
      <c r="A64" s="101"/>
      <c r="B64" s="24" t="s">
        <v>349</v>
      </c>
      <c r="C64" s="119">
        <f t="shared" si="0"/>
        <v>1.4</v>
      </c>
      <c r="D64" s="29">
        <v>1.4</v>
      </c>
      <c r="E64" s="29"/>
      <c r="F64" s="29"/>
      <c r="G64" s="29"/>
      <c r="H64" s="24"/>
      <c r="I64" s="24"/>
      <c r="J64" s="102"/>
      <c r="K64" s="33"/>
    </row>
    <row r="65" spans="1:11" ht="19.5" customHeight="1" hidden="1">
      <c r="A65" s="101"/>
      <c r="B65" s="24" t="s">
        <v>350</v>
      </c>
      <c r="C65" s="119">
        <f t="shared" si="0"/>
        <v>0.6</v>
      </c>
      <c r="D65" s="29">
        <v>0.6</v>
      </c>
      <c r="E65" s="29"/>
      <c r="F65" s="29"/>
      <c r="G65" s="29"/>
      <c r="H65" s="24"/>
      <c r="I65" s="24"/>
      <c r="J65" s="102"/>
      <c r="K65" s="33"/>
    </row>
    <row r="66" spans="1:11" ht="18.75" customHeight="1">
      <c r="A66" s="101" t="s">
        <v>518</v>
      </c>
      <c r="B66" s="135" t="s">
        <v>326</v>
      </c>
      <c r="C66" s="119">
        <f>D66+E66+F66+G66</f>
        <v>439.29999999999995</v>
      </c>
      <c r="D66" s="29">
        <v>106.7</v>
      </c>
      <c r="E66" s="29">
        <v>261.95</v>
      </c>
      <c r="F66" s="29">
        <v>25.75</v>
      </c>
      <c r="G66" s="29">
        <v>44.9</v>
      </c>
      <c r="H66" s="24" t="s">
        <v>1</v>
      </c>
      <c r="I66" s="24" t="s">
        <v>0</v>
      </c>
      <c r="J66" s="43" t="s">
        <v>559</v>
      </c>
      <c r="K66" s="33"/>
    </row>
    <row r="67" spans="1:11" ht="15" customHeight="1" hidden="1">
      <c r="A67" s="101"/>
      <c r="B67" s="70" t="s">
        <v>391</v>
      </c>
      <c r="C67" s="119"/>
      <c r="D67" s="29"/>
      <c r="E67" s="29"/>
      <c r="F67" s="29"/>
      <c r="G67" s="29"/>
      <c r="H67" s="24"/>
      <c r="I67" s="24"/>
      <c r="J67" s="43"/>
      <c r="K67" s="33"/>
    </row>
    <row r="68" spans="1:11" ht="15.75" hidden="1">
      <c r="A68" s="101" t="s">
        <v>519</v>
      </c>
      <c r="B68" s="68" t="s">
        <v>248</v>
      </c>
      <c r="C68" s="119">
        <f aca="true" t="shared" si="1" ref="C68:C84">D68+E68+F68+G68</f>
        <v>27.5</v>
      </c>
      <c r="D68" s="29">
        <v>10.45</v>
      </c>
      <c r="E68" s="29">
        <v>14.95</v>
      </c>
      <c r="F68" s="29">
        <v>0.5</v>
      </c>
      <c r="G68" s="29">
        <v>1.6</v>
      </c>
      <c r="H68" s="24"/>
      <c r="I68" s="24"/>
      <c r="J68" s="43"/>
      <c r="K68" s="33"/>
    </row>
    <row r="69" spans="1:11" ht="15.75" hidden="1">
      <c r="A69" s="101" t="s">
        <v>520</v>
      </c>
      <c r="B69" s="68" t="s">
        <v>249</v>
      </c>
      <c r="C69" s="119">
        <f t="shared" si="1"/>
        <v>20.1</v>
      </c>
      <c r="D69" s="29">
        <v>9.8</v>
      </c>
      <c r="E69" s="29">
        <v>10.3</v>
      </c>
      <c r="F69" s="29"/>
      <c r="G69" s="29"/>
      <c r="H69" s="24" t="s">
        <v>174</v>
      </c>
      <c r="I69" s="24" t="s">
        <v>174</v>
      </c>
      <c r="J69" s="43"/>
      <c r="K69" s="33"/>
    </row>
    <row r="70" spans="1:11" ht="15.75" hidden="1">
      <c r="A70" s="101" t="s">
        <v>521</v>
      </c>
      <c r="B70" s="68" t="s">
        <v>250</v>
      </c>
      <c r="C70" s="119">
        <f t="shared" si="1"/>
        <v>23.4</v>
      </c>
      <c r="D70" s="29"/>
      <c r="E70" s="29">
        <v>23.4</v>
      </c>
      <c r="F70" s="29"/>
      <c r="G70" s="29"/>
      <c r="H70" s="24"/>
      <c r="I70" s="24" t="s">
        <v>379</v>
      </c>
      <c r="J70" s="43"/>
      <c r="K70" s="33"/>
    </row>
    <row r="71" spans="1:11" ht="15.75" hidden="1">
      <c r="A71" s="101" t="s">
        <v>522</v>
      </c>
      <c r="B71" s="68" t="s">
        <v>251</v>
      </c>
      <c r="C71" s="119">
        <f t="shared" si="1"/>
        <v>12.700000000000001</v>
      </c>
      <c r="D71" s="29">
        <v>0.5</v>
      </c>
      <c r="E71" s="29">
        <v>11.9</v>
      </c>
      <c r="F71" s="29"/>
      <c r="G71" s="29">
        <v>0.3</v>
      </c>
      <c r="H71" s="24"/>
      <c r="I71" s="24"/>
      <c r="J71" s="43"/>
      <c r="K71" s="33"/>
    </row>
    <row r="72" spans="1:11" ht="15.75" hidden="1">
      <c r="A72" s="101" t="s">
        <v>523</v>
      </c>
      <c r="B72" s="68" t="s">
        <v>252</v>
      </c>
      <c r="C72" s="119">
        <f t="shared" si="1"/>
        <v>30</v>
      </c>
      <c r="D72" s="29">
        <v>12</v>
      </c>
      <c r="E72" s="29">
        <v>16</v>
      </c>
      <c r="F72" s="29">
        <v>2</v>
      </c>
      <c r="G72" s="29"/>
      <c r="H72" s="24"/>
      <c r="I72" s="24" t="s">
        <v>460</v>
      </c>
      <c r="J72" s="43"/>
      <c r="K72" s="33"/>
    </row>
    <row r="73" spans="1:11" ht="15.75" hidden="1">
      <c r="A73" s="101" t="s">
        <v>524</v>
      </c>
      <c r="B73" s="68" t="s">
        <v>253</v>
      </c>
      <c r="C73" s="119">
        <f t="shared" si="1"/>
        <v>25.299999999999997</v>
      </c>
      <c r="D73" s="29">
        <v>9.6</v>
      </c>
      <c r="E73" s="29">
        <v>12.8</v>
      </c>
      <c r="F73" s="29">
        <v>2.9</v>
      </c>
      <c r="G73" s="29"/>
      <c r="H73" s="24"/>
      <c r="I73" s="24" t="s">
        <v>106</v>
      </c>
      <c r="J73" s="43"/>
      <c r="K73" s="33"/>
    </row>
    <row r="74" spans="1:11" ht="15.75" hidden="1">
      <c r="A74" s="101" t="s">
        <v>525</v>
      </c>
      <c r="B74" s="68" t="s">
        <v>254</v>
      </c>
      <c r="C74" s="119">
        <f t="shared" si="1"/>
        <v>15.2</v>
      </c>
      <c r="D74" s="29"/>
      <c r="E74" s="29">
        <v>12.97</v>
      </c>
      <c r="F74" s="29">
        <v>1.53</v>
      </c>
      <c r="G74" s="29">
        <v>0.7</v>
      </c>
      <c r="H74" s="24" t="s">
        <v>377</v>
      </c>
      <c r="I74" s="24"/>
      <c r="J74" s="43"/>
      <c r="K74" s="33"/>
    </row>
    <row r="75" spans="1:11" ht="25.5" hidden="1">
      <c r="A75" s="101" t="s">
        <v>526</v>
      </c>
      <c r="B75" s="68" t="s">
        <v>255</v>
      </c>
      <c r="C75" s="119">
        <f t="shared" si="1"/>
        <v>10.9</v>
      </c>
      <c r="D75" s="29"/>
      <c r="E75" s="29">
        <v>10.9</v>
      </c>
      <c r="F75" s="29"/>
      <c r="G75" s="29"/>
      <c r="H75" s="24"/>
      <c r="I75" s="24"/>
      <c r="J75" s="43"/>
      <c r="K75" s="33"/>
    </row>
    <row r="76" spans="1:11" ht="25.5" hidden="1">
      <c r="A76" s="101" t="s">
        <v>527</v>
      </c>
      <c r="B76" s="68" t="s">
        <v>256</v>
      </c>
      <c r="C76" s="119">
        <f t="shared" si="1"/>
        <v>18.299999999999997</v>
      </c>
      <c r="D76" s="29">
        <v>1.7</v>
      </c>
      <c r="E76" s="29">
        <v>12.5</v>
      </c>
      <c r="F76" s="29">
        <v>4.1</v>
      </c>
      <c r="G76" s="29"/>
      <c r="H76" s="24" t="s">
        <v>378</v>
      </c>
      <c r="I76" s="24" t="s">
        <v>388</v>
      </c>
      <c r="J76" s="43"/>
      <c r="K76" s="33"/>
    </row>
    <row r="77" spans="1:11" ht="25.5" hidden="1">
      <c r="A77" s="101" t="s">
        <v>528</v>
      </c>
      <c r="B77" s="68" t="s">
        <v>257</v>
      </c>
      <c r="C77" s="119">
        <f t="shared" si="1"/>
        <v>9.4</v>
      </c>
      <c r="D77" s="29">
        <v>1.5</v>
      </c>
      <c r="E77" s="29">
        <v>6.9</v>
      </c>
      <c r="F77" s="29">
        <v>1</v>
      </c>
      <c r="G77" s="29"/>
      <c r="H77" s="24" t="s">
        <v>499</v>
      </c>
      <c r="I77" s="24" t="s">
        <v>358</v>
      </c>
      <c r="J77" s="43"/>
      <c r="K77" s="33"/>
    </row>
    <row r="78" spans="1:11" ht="25.5" hidden="1">
      <c r="A78" s="101" t="s">
        <v>529</v>
      </c>
      <c r="B78" s="68" t="s">
        <v>258</v>
      </c>
      <c r="C78" s="119">
        <f t="shared" si="1"/>
        <v>75.95</v>
      </c>
      <c r="D78" s="29">
        <v>2.55</v>
      </c>
      <c r="E78" s="29">
        <v>25.65</v>
      </c>
      <c r="F78" s="29">
        <v>4.3</v>
      </c>
      <c r="G78" s="29">
        <v>43.45</v>
      </c>
      <c r="H78" s="24" t="s">
        <v>376</v>
      </c>
      <c r="I78" s="24"/>
      <c r="J78" s="43"/>
      <c r="K78" s="33"/>
    </row>
    <row r="79" spans="1:11" ht="25.5" hidden="1">
      <c r="A79" s="101" t="s">
        <v>530</v>
      </c>
      <c r="B79" s="68" t="s">
        <v>259</v>
      </c>
      <c r="C79" s="119">
        <f t="shared" si="1"/>
        <v>23</v>
      </c>
      <c r="D79" s="29"/>
      <c r="E79" s="29">
        <v>23</v>
      </c>
      <c r="F79" s="29"/>
      <c r="G79" s="29"/>
      <c r="H79" s="24" t="s">
        <v>380</v>
      </c>
      <c r="I79" s="24" t="s">
        <v>496</v>
      </c>
      <c r="J79" s="43"/>
      <c r="K79" s="33"/>
    </row>
    <row r="80" spans="1:11" ht="25.5" hidden="1">
      <c r="A80" s="101" t="s">
        <v>531</v>
      </c>
      <c r="B80" s="68" t="s">
        <v>260</v>
      </c>
      <c r="C80" s="119">
        <f t="shared" si="1"/>
        <v>17.1</v>
      </c>
      <c r="D80" s="29">
        <v>2</v>
      </c>
      <c r="E80" s="29">
        <v>13.9</v>
      </c>
      <c r="F80" s="29"/>
      <c r="G80" s="29">
        <v>1.2</v>
      </c>
      <c r="H80" s="24" t="s">
        <v>385</v>
      </c>
      <c r="I80" s="24" t="s">
        <v>384</v>
      </c>
      <c r="J80" s="43"/>
      <c r="K80" s="33"/>
    </row>
    <row r="81" spans="1:11" ht="25.5" hidden="1">
      <c r="A81" s="101" t="s">
        <v>532</v>
      </c>
      <c r="B81" s="68" t="s">
        <v>261</v>
      </c>
      <c r="C81" s="119">
        <f t="shared" si="1"/>
        <v>17.3</v>
      </c>
      <c r="D81" s="29">
        <v>5.9</v>
      </c>
      <c r="E81" s="29">
        <v>9.3</v>
      </c>
      <c r="F81" s="29">
        <v>1.8</v>
      </c>
      <c r="G81" s="29">
        <v>0.3</v>
      </c>
      <c r="H81" s="24" t="s">
        <v>375</v>
      </c>
      <c r="I81" s="24" t="s">
        <v>367</v>
      </c>
      <c r="J81" s="43"/>
      <c r="K81" s="33"/>
    </row>
    <row r="82" spans="1:11" ht="25.5" hidden="1">
      <c r="A82" s="101" t="s">
        <v>533</v>
      </c>
      <c r="B82" s="68" t="s">
        <v>262</v>
      </c>
      <c r="C82" s="119">
        <f t="shared" si="1"/>
        <v>27</v>
      </c>
      <c r="D82" s="29"/>
      <c r="E82" s="29">
        <v>27</v>
      </c>
      <c r="F82" s="29"/>
      <c r="G82" s="29"/>
      <c r="H82" s="24"/>
      <c r="I82" s="24" t="s">
        <v>100</v>
      </c>
      <c r="J82" s="43"/>
      <c r="K82" s="33"/>
    </row>
    <row r="83" spans="1:11" ht="25.5" hidden="1">
      <c r="A83" s="101" t="s">
        <v>534</v>
      </c>
      <c r="B83" s="68" t="s">
        <v>263</v>
      </c>
      <c r="C83" s="119">
        <f t="shared" si="1"/>
        <v>40</v>
      </c>
      <c r="D83" s="29">
        <v>3</v>
      </c>
      <c r="E83" s="29">
        <v>37</v>
      </c>
      <c r="F83" s="29"/>
      <c r="G83" s="29"/>
      <c r="H83" s="24"/>
      <c r="I83" s="24"/>
      <c r="J83" s="43"/>
      <c r="K83" s="33"/>
    </row>
    <row r="84" spans="1:11" ht="25.5" hidden="1">
      <c r="A84" s="101" t="s">
        <v>381</v>
      </c>
      <c r="B84" s="68" t="s">
        <v>382</v>
      </c>
      <c r="C84" s="119">
        <f t="shared" si="1"/>
        <v>11</v>
      </c>
      <c r="D84" s="29"/>
      <c r="E84" s="29">
        <v>9.5</v>
      </c>
      <c r="F84" s="29">
        <v>1.5</v>
      </c>
      <c r="G84" s="29"/>
      <c r="H84" s="24"/>
      <c r="I84" s="24" t="s">
        <v>383</v>
      </c>
      <c r="J84" s="43"/>
      <c r="K84" s="33"/>
    </row>
    <row r="85" spans="1:11" ht="19.5" customHeight="1">
      <c r="A85" s="103"/>
      <c r="B85" s="135" t="s">
        <v>327</v>
      </c>
      <c r="C85" s="119">
        <f>SUM(C68:C84)</f>
        <v>404.15000000000003</v>
      </c>
      <c r="D85" s="34">
        <f>SUM(D68:D84)</f>
        <v>59</v>
      </c>
      <c r="E85" s="34">
        <f>SUM(E68:E84)</f>
        <v>277.97</v>
      </c>
      <c r="F85" s="34">
        <f>SUM(F68:F84)</f>
        <v>19.630000000000003</v>
      </c>
      <c r="G85" s="34">
        <v>47.6</v>
      </c>
      <c r="H85" s="43" t="s">
        <v>279</v>
      </c>
      <c r="I85" s="43" t="s">
        <v>3</v>
      </c>
      <c r="J85" s="43"/>
      <c r="K85" s="33"/>
    </row>
    <row r="86" spans="1:11" ht="15.75">
      <c r="A86" s="129">
        <v>14</v>
      </c>
      <c r="B86" s="123" t="s">
        <v>560</v>
      </c>
      <c r="C86" s="62">
        <f>D86+E86+F86+G86</f>
        <v>439.5</v>
      </c>
      <c r="D86" s="62">
        <f>D87+D100</f>
        <v>23.4</v>
      </c>
      <c r="E86" s="62">
        <f>E87+E100</f>
        <v>349.7</v>
      </c>
      <c r="F86" s="62">
        <f>F87+F100</f>
        <v>0</v>
      </c>
      <c r="G86" s="62">
        <f>G87+G100</f>
        <v>66.4</v>
      </c>
      <c r="H86" s="64" t="s">
        <v>462</v>
      </c>
      <c r="I86" s="64" t="s">
        <v>591</v>
      </c>
      <c r="J86" s="64"/>
      <c r="K86" s="63"/>
    </row>
    <row r="87" spans="1:11" ht="20.25" customHeight="1">
      <c r="A87" s="101" t="s">
        <v>535</v>
      </c>
      <c r="B87" s="135" t="s">
        <v>326</v>
      </c>
      <c r="C87" s="119">
        <f aca="true" t="shared" si="2" ref="C87:C99">D87+E87+F87+G87</f>
        <v>260.9</v>
      </c>
      <c r="D87" s="29">
        <v>13.5</v>
      </c>
      <c r="E87" s="29">
        <v>185.5</v>
      </c>
      <c r="F87" s="29"/>
      <c r="G87" s="29">
        <v>61.9</v>
      </c>
      <c r="H87" s="24"/>
      <c r="I87" s="24"/>
      <c r="J87" s="43"/>
      <c r="K87" s="33"/>
    </row>
    <row r="88" spans="1:11" ht="15.75" hidden="1">
      <c r="A88" s="101"/>
      <c r="B88" s="135" t="s">
        <v>327</v>
      </c>
      <c r="C88" s="119"/>
      <c r="D88" s="29"/>
      <c r="E88" s="29"/>
      <c r="F88" s="29"/>
      <c r="G88" s="29"/>
      <c r="H88" s="24"/>
      <c r="I88" s="24"/>
      <c r="J88" s="43"/>
      <c r="K88" s="33"/>
    </row>
    <row r="89" spans="1:11" ht="15.75" hidden="1">
      <c r="A89" s="101" t="s">
        <v>536</v>
      </c>
      <c r="B89" s="24" t="s">
        <v>237</v>
      </c>
      <c r="C89" s="119">
        <f t="shared" si="2"/>
        <v>23</v>
      </c>
      <c r="D89" s="29"/>
      <c r="E89" s="29">
        <v>23</v>
      </c>
      <c r="F89" s="29"/>
      <c r="G89" s="29"/>
      <c r="H89" s="24"/>
      <c r="I89" s="24" t="s">
        <v>88</v>
      </c>
      <c r="J89" s="43">
        <v>53</v>
      </c>
      <c r="K89" s="33"/>
    </row>
    <row r="90" spans="1:11" ht="15.75" hidden="1">
      <c r="A90" s="101" t="s">
        <v>537</v>
      </c>
      <c r="B90" s="24" t="s">
        <v>238</v>
      </c>
      <c r="C90" s="119">
        <f t="shared" si="2"/>
        <v>20.7</v>
      </c>
      <c r="D90" s="29">
        <v>2.9</v>
      </c>
      <c r="E90" s="29">
        <v>16.8</v>
      </c>
      <c r="F90" s="29"/>
      <c r="G90" s="29">
        <v>1</v>
      </c>
      <c r="H90" s="24" t="s">
        <v>456</v>
      </c>
      <c r="I90" s="24" t="s">
        <v>455</v>
      </c>
      <c r="J90" s="43">
        <v>20.7</v>
      </c>
      <c r="K90" s="33"/>
    </row>
    <row r="91" spans="1:11" ht="15.75" hidden="1">
      <c r="A91" s="101" t="s">
        <v>538</v>
      </c>
      <c r="B91" s="24" t="s">
        <v>239</v>
      </c>
      <c r="C91" s="119">
        <f t="shared" si="2"/>
        <v>13.9</v>
      </c>
      <c r="D91" s="29"/>
      <c r="E91" s="29">
        <v>13.9</v>
      </c>
      <c r="F91" s="29"/>
      <c r="G91" s="29"/>
      <c r="H91" s="24"/>
      <c r="I91" s="24"/>
      <c r="J91" s="43">
        <v>28.2</v>
      </c>
      <c r="K91" s="33"/>
    </row>
    <row r="92" spans="1:11" ht="15.75" hidden="1">
      <c r="A92" s="101" t="s">
        <v>539</v>
      </c>
      <c r="B92" s="24" t="s">
        <v>240</v>
      </c>
      <c r="C92" s="119">
        <f t="shared" si="2"/>
        <v>23.4</v>
      </c>
      <c r="D92" s="29"/>
      <c r="E92" s="29">
        <v>23.4</v>
      </c>
      <c r="F92" s="29"/>
      <c r="G92" s="29"/>
      <c r="H92" s="24" t="s">
        <v>458</v>
      </c>
      <c r="I92" s="24" t="s">
        <v>457</v>
      </c>
      <c r="J92" s="43">
        <v>28.6</v>
      </c>
      <c r="K92" s="33"/>
    </row>
    <row r="93" spans="1:11" ht="15.75" hidden="1">
      <c r="A93" s="101" t="s">
        <v>540</v>
      </c>
      <c r="B93" s="24" t="s">
        <v>241</v>
      </c>
      <c r="C93" s="119">
        <f t="shared" si="2"/>
        <v>15</v>
      </c>
      <c r="D93" s="29">
        <v>6.5</v>
      </c>
      <c r="E93" s="29">
        <v>6</v>
      </c>
      <c r="F93" s="29"/>
      <c r="G93" s="29">
        <v>2.5</v>
      </c>
      <c r="H93" s="24"/>
      <c r="I93" s="24" t="s">
        <v>459</v>
      </c>
      <c r="J93" s="43">
        <v>29</v>
      </c>
      <c r="K93" s="33"/>
    </row>
    <row r="94" spans="1:11" ht="15.75" hidden="1">
      <c r="A94" s="101" t="s">
        <v>541</v>
      </c>
      <c r="B94" s="24" t="s">
        <v>242</v>
      </c>
      <c r="C94" s="119">
        <f t="shared" si="2"/>
        <v>3.5</v>
      </c>
      <c r="D94" s="29"/>
      <c r="E94" s="29">
        <v>3.5</v>
      </c>
      <c r="F94" s="29"/>
      <c r="G94" s="29"/>
      <c r="H94" s="24"/>
      <c r="I94" s="24" t="s">
        <v>171</v>
      </c>
      <c r="J94" s="43">
        <v>46</v>
      </c>
      <c r="K94" s="33"/>
    </row>
    <row r="95" spans="1:11" ht="15.75" hidden="1">
      <c r="A95" s="101" t="s">
        <v>542</v>
      </c>
      <c r="B95" s="24" t="s">
        <v>243</v>
      </c>
      <c r="C95" s="119">
        <f t="shared" si="2"/>
        <v>12</v>
      </c>
      <c r="D95" s="29"/>
      <c r="E95" s="29">
        <v>12</v>
      </c>
      <c r="F95" s="29"/>
      <c r="G95" s="29"/>
      <c r="H95" s="24" t="s">
        <v>500</v>
      </c>
      <c r="I95" s="24" t="s">
        <v>460</v>
      </c>
      <c r="J95" s="43">
        <v>40.95</v>
      </c>
      <c r="K95" s="33"/>
    </row>
    <row r="96" spans="1:11" ht="15.75" hidden="1">
      <c r="A96" s="101" t="s">
        <v>543</v>
      </c>
      <c r="B96" s="24" t="s">
        <v>244</v>
      </c>
      <c r="C96" s="119">
        <f t="shared" si="2"/>
        <v>23.5</v>
      </c>
      <c r="D96" s="29"/>
      <c r="E96" s="29">
        <v>23.5</v>
      </c>
      <c r="F96" s="29"/>
      <c r="G96" s="29"/>
      <c r="H96" s="24" t="s">
        <v>433</v>
      </c>
      <c r="I96" s="24" t="s">
        <v>88</v>
      </c>
      <c r="J96" s="43">
        <v>60.5</v>
      </c>
      <c r="K96" s="33"/>
    </row>
    <row r="97" spans="1:11" ht="15.75" customHeight="1" hidden="1">
      <c r="A97" s="101" t="s">
        <v>544</v>
      </c>
      <c r="B97" s="24" t="s">
        <v>245</v>
      </c>
      <c r="C97" s="119">
        <f t="shared" si="2"/>
        <v>18</v>
      </c>
      <c r="D97" s="29"/>
      <c r="E97" s="29">
        <v>18</v>
      </c>
      <c r="F97" s="29"/>
      <c r="G97" s="29"/>
      <c r="H97" s="24"/>
      <c r="I97" s="24" t="s">
        <v>171</v>
      </c>
      <c r="J97" s="43">
        <v>32.1</v>
      </c>
      <c r="K97" s="33"/>
    </row>
    <row r="98" spans="1:11" ht="31.5" hidden="1">
      <c r="A98" s="101" t="s">
        <v>545</v>
      </c>
      <c r="B98" s="24" t="s">
        <v>246</v>
      </c>
      <c r="C98" s="119">
        <f t="shared" si="2"/>
        <v>10</v>
      </c>
      <c r="D98" s="29"/>
      <c r="E98" s="29">
        <v>9</v>
      </c>
      <c r="F98" s="29"/>
      <c r="G98" s="29">
        <v>1</v>
      </c>
      <c r="H98" s="24" t="s">
        <v>433</v>
      </c>
      <c r="I98" s="24" t="s">
        <v>491</v>
      </c>
      <c r="J98" s="43">
        <v>34.5</v>
      </c>
      <c r="K98" s="33"/>
    </row>
    <row r="99" spans="1:11" ht="25.5" hidden="1">
      <c r="A99" s="101" t="s">
        <v>546</v>
      </c>
      <c r="B99" s="104" t="s">
        <v>247</v>
      </c>
      <c r="C99" s="119">
        <f t="shared" si="2"/>
        <v>15.5</v>
      </c>
      <c r="D99" s="29">
        <v>0.5</v>
      </c>
      <c r="E99" s="29">
        <v>15</v>
      </c>
      <c r="F99" s="29"/>
      <c r="G99" s="29"/>
      <c r="H99" s="24"/>
      <c r="I99" s="24"/>
      <c r="J99" s="43"/>
      <c r="K99" s="33"/>
    </row>
    <row r="100" spans="1:11" ht="17.25" customHeight="1">
      <c r="A100" s="103"/>
      <c r="B100" s="135" t="s">
        <v>327</v>
      </c>
      <c r="C100" s="119">
        <v>178.6</v>
      </c>
      <c r="D100" s="26">
        <f>SUM(D89:D99)</f>
        <v>9.9</v>
      </c>
      <c r="E100" s="26">
        <v>164.2</v>
      </c>
      <c r="F100" s="26">
        <f>SUM(F89:F99)</f>
        <v>0</v>
      </c>
      <c r="G100" s="26">
        <f>SUM(G89:G99)</f>
        <v>4.5</v>
      </c>
      <c r="H100" s="43" t="s">
        <v>462</v>
      </c>
      <c r="I100" s="43" t="s">
        <v>463</v>
      </c>
      <c r="J100" s="43">
        <f>SUM(J89:J98)</f>
        <v>373.55</v>
      </c>
      <c r="K100" s="33"/>
    </row>
    <row r="101" spans="1:11" ht="15.75">
      <c r="A101" s="129">
        <v>15</v>
      </c>
      <c r="B101" s="123" t="s">
        <v>11</v>
      </c>
      <c r="C101" s="62">
        <f>D101+E101+F101+G101</f>
        <v>583.6179999999999</v>
      </c>
      <c r="D101" s="62">
        <f>D102+D103+D109</f>
        <v>28.28</v>
      </c>
      <c r="E101" s="62">
        <f>E102+E103+E109</f>
        <v>451.428</v>
      </c>
      <c r="F101" s="62">
        <f>F102+F103+F109</f>
        <v>31.78</v>
      </c>
      <c r="G101" s="62">
        <f>G102+G103+G109</f>
        <v>72.13</v>
      </c>
      <c r="H101" s="64" t="s">
        <v>595</v>
      </c>
      <c r="I101" s="64" t="s">
        <v>4</v>
      </c>
      <c r="J101" s="130"/>
      <c r="K101" s="63"/>
    </row>
    <row r="102" spans="1:11" ht="33.75" customHeight="1">
      <c r="A102" s="101" t="s">
        <v>547</v>
      </c>
      <c r="B102" s="24" t="s">
        <v>264</v>
      </c>
      <c r="C102" s="119">
        <f>D102+E102+F102+G102</f>
        <v>64.528</v>
      </c>
      <c r="D102" s="29">
        <v>4.13</v>
      </c>
      <c r="E102" s="29">
        <v>52.368</v>
      </c>
      <c r="F102" s="29">
        <v>1.78</v>
      </c>
      <c r="G102" s="29">
        <v>6.25</v>
      </c>
      <c r="H102" s="24" t="s">
        <v>167</v>
      </c>
      <c r="I102" s="24" t="s">
        <v>168</v>
      </c>
      <c r="J102" s="102">
        <f>C102</f>
        <v>64.528</v>
      </c>
      <c r="K102" s="33"/>
    </row>
    <row r="103" spans="1:11" ht="31.5">
      <c r="A103" s="101" t="s">
        <v>548</v>
      </c>
      <c r="B103" s="145" t="s">
        <v>326</v>
      </c>
      <c r="C103" s="119">
        <f>D103+E103+F103+G103</f>
        <v>298</v>
      </c>
      <c r="D103" s="29">
        <v>10.6</v>
      </c>
      <c r="E103" s="29">
        <v>224.75</v>
      </c>
      <c r="F103" s="29">
        <v>11.5</v>
      </c>
      <c r="G103" s="29">
        <v>51.15</v>
      </c>
      <c r="H103" s="24" t="s">
        <v>594</v>
      </c>
      <c r="I103" s="24" t="s">
        <v>172</v>
      </c>
      <c r="J103" s="34">
        <v>298</v>
      </c>
      <c r="K103" s="33"/>
    </row>
    <row r="104" spans="1:11" ht="15.75" hidden="1">
      <c r="A104" s="101"/>
      <c r="B104" s="70" t="s">
        <v>391</v>
      </c>
      <c r="C104" s="119"/>
      <c r="D104" s="29"/>
      <c r="E104" s="29"/>
      <c r="F104" s="29"/>
      <c r="G104" s="29"/>
      <c r="H104" s="24"/>
      <c r="I104" s="24"/>
      <c r="J104" s="34"/>
      <c r="K104" s="33"/>
    </row>
    <row r="105" spans="1:11" ht="15.75" hidden="1">
      <c r="A105" s="101" t="s">
        <v>549</v>
      </c>
      <c r="B105" s="146" t="s">
        <v>360</v>
      </c>
      <c r="C105" s="119">
        <f>D105+E105+F105+G105</f>
        <v>62.9</v>
      </c>
      <c r="D105" s="29">
        <v>4</v>
      </c>
      <c r="E105" s="29">
        <v>52.75</v>
      </c>
      <c r="F105" s="29"/>
      <c r="G105" s="29">
        <v>6.15</v>
      </c>
      <c r="H105" s="24"/>
      <c r="I105" s="24" t="s">
        <v>169</v>
      </c>
      <c r="J105" s="34">
        <v>62.9</v>
      </c>
      <c r="K105" s="33"/>
    </row>
    <row r="106" spans="1:11" ht="15.75" hidden="1">
      <c r="A106" s="101" t="s">
        <v>550</v>
      </c>
      <c r="B106" s="146" t="s">
        <v>265</v>
      </c>
      <c r="C106" s="119">
        <f>D106+E106+F106+G106</f>
        <v>72.99000000000001</v>
      </c>
      <c r="D106" s="29">
        <v>7.4</v>
      </c>
      <c r="E106" s="29">
        <v>54.99</v>
      </c>
      <c r="F106" s="29">
        <v>5.4</v>
      </c>
      <c r="G106" s="29">
        <v>5.2</v>
      </c>
      <c r="H106" s="24"/>
      <c r="I106" s="24" t="s">
        <v>170</v>
      </c>
      <c r="J106" s="34">
        <v>72.99</v>
      </c>
      <c r="K106" s="33"/>
    </row>
    <row r="107" spans="1:11" ht="15.75" hidden="1">
      <c r="A107" s="101" t="s">
        <v>551</v>
      </c>
      <c r="B107" s="146" t="s">
        <v>420</v>
      </c>
      <c r="C107" s="119">
        <f>D107+E107+F107+G107</f>
        <v>40.2</v>
      </c>
      <c r="D107" s="29">
        <v>1.6</v>
      </c>
      <c r="E107" s="29">
        <v>27.7</v>
      </c>
      <c r="F107" s="29">
        <v>10.9</v>
      </c>
      <c r="G107" s="29"/>
      <c r="H107" s="24"/>
      <c r="I107" s="24" t="s">
        <v>171</v>
      </c>
      <c r="J107" s="34">
        <v>40.2</v>
      </c>
      <c r="K107" s="33"/>
    </row>
    <row r="108" spans="1:11" ht="15.75" hidden="1">
      <c r="A108" s="101" t="s">
        <v>552</v>
      </c>
      <c r="B108" s="146" t="s">
        <v>421</v>
      </c>
      <c r="C108" s="119">
        <f>D108+E108+F108+G108</f>
        <v>45</v>
      </c>
      <c r="D108" s="29">
        <v>0.55</v>
      </c>
      <c r="E108" s="29">
        <v>38.87</v>
      </c>
      <c r="F108" s="29">
        <v>2.2</v>
      </c>
      <c r="G108" s="29">
        <v>3.38</v>
      </c>
      <c r="H108" s="24"/>
      <c r="I108" s="24" t="s">
        <v>167</v>
      </c>
      <c r="J108" s="34">
        <v>45</v>
      </c>
      <c r="K108" s="33"/>
    </row>
    <row r="109" spans="1:11" ht="15.75">
      <c r="A109" s="103"/>
      <c r="B109" s="145" t="s">
        <v>327</v>
      </c>
      <c r="C109" s="119">
        <f>SUM(C105:C108)</f>
        <v>221.09000000000003</v>
      </c>
      <c r="D109" s="26">
        <f>SUM(D105:D108)</f>
        <v>13.55</v>
      </c>
      <c r="E109" s="26">
        <f>SUM(E105:E108)</f>
        <v>174.31</v>
      </c>
      <c r="F109" s="26">
        <f>SUM(F105:F108)</f>
        <v>18.5</v>
      </c>
      <c r="G109" s="26">
        <f>SUM(G105:G108)</f>
        <v>14.73</v>
      </c>
      <c r="H109" s="43" t="s">
        <v>594</v>
      </c>
      <c r="I109" s="43" t="s">
        <v>5</v>
      </c>
      <c r="J109" s="43">
        <f>SUM(J102:J108)</f>
        <v>583.618</v>
      </c>
      <c r="K109" s="33"/>
    </row>
    <row r="110" spans="1:11" ht="15.75">
      <c r="A110" s="129">
        <v>16</v>
      </c>
      <c r="B110" s="123" t="s">
        <v>567</v>
      </c>
      <c r="C110" s="62">
        <f>D110+E110+F110+G110</f>
        <v>432.51</v>
      </c>
      <c r="D110" s="62">
        <f>D111+D112+D128</f>
        <v>11.530000000000001</v>
      </c>
      <c r="E110" s="62">
        <f>E111+E112+E128</f>
        <v>220.63</v>
      </c>
      <c r="F110" s="62">
        <f>F111+F112+F128</f>
        <v>9.959999999999999</v>
      </c>
      <c r="G110" s="62">
        <f>G111+G112+G128</f>
        <v>190.39000000000001</v>
      </c>
      <c r="H110" s="64" t="s">
        <v>464</v>
      </c>
      <c r="I110" s="64" t="s">
        <v>465</v>
      </c>
      <c r="J110" s="64"/>
      <c r="K110" s="63"/>
    </row>
    <row r="111" spans="1:11" ht="18" customHeight="1">
      <c r="A111" s="101" t="s">
        <v>501</v>
      </c>
      <c r="B111" s="24" t="s">
        <v>266</v>
      </c>
      <c r="C111" s="119">
        <v>22.81</v>
      </c>
      <c r="D111" s="29">
        <v>7.94</v>
      </c>
      <c r="E111" s="29">
        <v>0.6</v>
      </c>
      <c r="F111" s="29">
        <f>0.8+0.25+0.25+0.51+0.3+0.85+0.4</f>
        <v>3.36</v>
      </c>
      <c r="G111" s="29">
        <f>4.38+6.53</f>
        <v>10.91</v>
      </c>
      <c r="H111" s="24"/>
      <c r="I111" s="24" t="s">
        <v>112</v>
      </c>
      <c r="J111" s="102"/>
      <c r="K111" s="33"/>
    </row>
    <row r="112" spans="1:11" ht="18.75" customHeight="1">
      <c r="A112" s="101" t="s">
        <v>502</v>
      </c>
      <c r="B112" s="145" t="s">
        <v>326</v>
      </c>
      <c r="C112" s="26">
        <f>D112+E112+F112+G112</f>
        <v>276.5</v>
      </c>
      <c r="D112" s="29"/>
      <c r="E112" s="29">
        <v>135.7</v>
      </c>
      <c r="F112" s="29">
        <f>0.5+2.5+1</f>
        <v>4</v>
      </c>
      <c r="G112" s="29">
        <v>136.8</v>
      </c>
      <c r="H112" s="24" t="s">
        <v>111</v>
      </c>
      <c r="I112" s="24" t="s">
        <v>110</v>
      </c>
      <c r="J112" s="33"/>
      <c r="K112" s="33"/>
    </row>
    <row r="113" spans="1:11" ht="15.75" hidden="1">
      <c r="A113" s="101"/>
      <c r="B113" s="70" t="s">
        <v>391</v>
      </c>
      <c r="C113" s="26"/>
      <c r="D113" s="29"/>
      <c r="E113" s="29"/>
      <c r="F113" s="29"/>
      <c r="G113" s="29"/>
      <c r="H113" s="24"/>
      <c r="I113" s="24"/>
      <c r="J113" s="33"/>
      <c r="K113" s="33"/>
    </row>
    <row r="114" spans="1:11" ht="15.75" hidden="1">
      <c r="A114" s="101" t="s">
        <v>503</v>
      </c>
      <c r="B114" s="146" t="s">
        <v>392</v>
      </c>
      <c r="C114" s="26">
        <f>D114+E114+F114+G114</f>
        <v>7.300000000000001</v>
      </c>
      <c r="D114" s="29">
        <v>0.65</v>
      </c>
      <c r="E114" s="29">
        <v>5.15</v>
      </c>
      <c r="F114" s="29"/>
      <c r="G114" s="29">
        <v>1.5</v>
      </c>
      <c r="H114" s="24" t="s">
        <v>491</v>
      </c>
      <c r="I114" s="24"/>
      <c r="J114" s="43"/>
      <c r="K114" s="33"/>
    </row>
    <row r="115" spans="1:11" ht="15.75" hidden="1">
      <c r="A115" s="101" t="s">
        <v>504</v>
      </c>
      <c r="B115" s="146" t="s">
        <v>393</v>
      </c>
      <c r="C115" s="26">
        <f aca="true" t="shared" si="3" ref="C115:C127">D115+E115+F115+G115</f>
        <v>13.7</v>
      </c>
      <c r="D115" s="29"/>
      <c r="E115" s="29">
        <v>12.7</v>
      </c>
      <c r="F115" s="29"/>
      <c r="G115" s="29">
        <v>1</v>
      </c>
      <c r="H115" s="24" t="s">
        <v>491</v>
      </c>
      <c r="I115" s="24" t="s">
        <v>492</v>
      </c>
      <c r="J115" s="43"/>
      <c r="K115" s="33"/>
    </row>
    <row r="116" spans="1:11" ht="15.75" hidden="1">
      <c r="A116" s="101" t="s">
        <v>505</v>
      </c>
      <c r="B116" s="146" t="s">
        <v>394</v>
      </c>
      <c r="C116" s="26">
        <f t="shared" si="3"/>
        <v>10.2</v>
      </c>
      <c r="D116" s="29"/>
      <c r="E116" s="29">
        <v>7.9</v>
      </c>
      <c r="F116" s="29"/>
      <c r="G116" s="29">
        <v>2.3</v>
      </c>
      <c r="H116" s="24"/>
      <c r="I116" s="24" t="s">
        <v>493</v>
      </c>
      <c r="J116" s="43"/>
      <c r="K116" s="33"/>
    </row>
    <row r="117" spans="1:11" ht="15.75" hidden="1">
      <c r="A117" s="101" t="s">
        <v>506</v>
      </c>
      <c r="B117" s="146" t="s">
        <v>359</v>
      </c>
      <c r="C117" s="26">
        <f t="shared" si="3"/>
        <v>11</v>
      </c>
      <c r="D117" s="29">
        <v>0.5</v>
      </c>
      <c r="E117" s="29">
        <v>9</v>
      </c>
      <c r="F117" s="29"/>
      <c r="G117" s="29">
        <v>1.5</v>
      </c>
      <c r="H117" s="24" t="s">
        <v>494</v>
      </c>
      <c r="I117" s="24"/>
      <c r="J117" s="43"/>
      <c r="K117" s="33"/>
    </row>
    <row r="118" spans="1:11" ht="15.75" hidden="1">
      <c r="A118" s="101" t="s">
        <v>507</v>
      </c>
      <c r="B118" s="146" t="s">
        <v>395</v>
      </c>
      <c r="C118" s="26">
        <f t="shared" si="3"/>
        <v>6.45</v>
      </c>
      <c r="D118" s="29"/>
      <c r="E118" s="29">
        <v>3.6</v>
      </c>
      <c r="F118" s="29"/>
      <c r="G118" s="29">
        <v>2.85</v>
      </c>
      <c r="H118" s="24"/>
      <c r="I118" s="24"/>
      <c r="J118" s="43"/>
      <c r="K118" s="33"/>
    </row>
    <row r="119" spans="1:11" ht="15.75" hidden="1">
      <c r="A119" s="101" t="s">
        <v>508</v>
      </c>
      <c r="B119" s="146" t="s">
        <v>396</v>
      </c>
      <c r="C119" s="26">
        <f t="shared" si="3"/>
        <v>14.549999999999999</v>
      </c>
      <c r="D119" s="29"/>
      <c r="E119" s="29">
        <v>6.35</v>
      </c>
      <c r="F119" s="29"/>
      <c r="G119" s="29">
        <v>8.2</v>
      </c>
      <c r="H119" s="24"/>
      <c r="I119" s="24"/>
      <c r="J119" s="43"/>
      <c r="K119" s="33"/>
    </row>
    <row r="120" spans="1:11" ht="15.75" hidden="1">
      <c r="A120" s="101" t="s">
        <v>509</v>
      </c>
      <c r="B120" s="146" t="s">
        <v>397</v>
      </c>
      <c r="C120" s="26">
        <f t="shared" si="3"/>
        <v>9.67</v>
      </c>
      <c r="D120" s="29">
        <v>0.94</v>
      </c>
      <c r="E120" s="29">
        <v>4.75</v>
      </c>
      <c r="F120" s="29">
        <v>0.7</v>
      </c>
      <c r="G120" s="29">
        <v>3.28</v>
      </c>
      <c r="H120" s="24" t="s">
        <v>495</v>
      </c>
      <c r="I120" s="24"/>
      <c r="J120" s="43"/>
      <c r="K120" s="33"/>
    </row>
    <row r="121" spans="1:11" ht="25.5" hidden="1">
      <c r="A121" s="101" t="s">
        <v>510</v>
      </c>
      <c r="B121" s="146" t="s">
        <v>413</v>
      </c>
      <c r="C121" s="26">
        <f t="shared" si="3"/>
        <v>9.2</v>
      </c>
      <c r="D121" s="29"/>
      <c r="E121" s="29">
        <v>5.7</v>
      </c>
      <c r="F121" s="29"/>
      <c r="G121" s="29">
        <v>3.5</v>
      </c>
      <c r="H121" s="24" t="s">
        <v>496</v>
      </c>
      <c r="I121" s="24" t="s">
        <v>367</v>
      </c>
      <c r="J121" s="43"/>
      <c r="K121" s="33"/>
    </row>
    <row r="122" spans="1:11" ht="25.5" hidden="1">
      <c r="A122" s="101" t="s">
        <v>511</v>
      </c>
      <c r="B122" s="146" t="s">
        <v>414</v>
      </c>
      <c r="C122" s="26">
        <f t="shared" si="3"/>
        <v>9.7</v>
      </c>
      <c r="D122" s="29">
        <v>1.5</v>
      </c>
      <c r="E122" s="29">
        <v>4.7</v>
      </c>
      <c r="F122" s="29"/>
      <c r="G122" s="29">
        <v>3.5</v>
      </c>
      <c r="H122" s="24" t="s">
        <v>497</v>
      </c>
      <c r="I122" s="24"/>
      <c r="J122" s="43"/>
      <c r="K122" s="33"/>
    </row>
    <row r="123" spans="1:11" ht="25.5" hidden="1">
      <c r="A123" s="101" t="s">
        <v>512</v>
      </c>
      <c r="B123" s="146" t="s">
        <v>415</v>
      </c>
      <c r="C123" s="26">
        <f t="shared" si="3"/>
        <v>15.05</v>
      </c>
      <c r="D123" s="29"/>
      <c r="E123" s="29">
        <v>7.55</v>
      </c>
      <c r="F123" s="29"/>
      <c r="G123" s="29">
        <v>7.5</v>
      </c>
      <c r="H123" s="24" t="s">
        <v>367</v>
      </c>
      <c r="I123" s="24" t="s">
        <v>498</v>
      </c>
      <c r="J123" s="43"/>
      <c r="K123" s="33"/>
    </row>
    <row r="124" spans="1:11" ht="25.5" hidden="1">
      <c r="A124" s="101" t="s">
        <v>513</v>
      </c>
      <c r="B124" s="146" t="s">
        <v>416</v>
      </c>
      <c r="C124" s="26">
        <f t="shared" si="3"/>
        <v>7.4</v>
      </c>
      <c r="D124" s="29"/>
      <c r="E124" s="29">
        <v>5.7</v>
      </c>
      <c r="F124" s="29">
        <v>0.7</v>
      </c>
      <c r="G124" s="29">
        <v>1</v>
      </c>
      <c r="H124" s="24" t="s">
        <v>148</v>
      </c>
      <c r="I124" s="24"/>
      <c r="J124" s="43"/>
      <c r="K124" s="33"/>
    </row>
    <row r="125" spans="1:11" ht="25.5" hidden="1">
      <c r="A125" s="101" t="s">
        <v>514</v>
      </c>
      <c r="B125" s="146" t="s">
        <v>417</v>
      </c>
      <c r="C125" s="26">
        <f t="shared" si="3"/>
        <v>6.3</v>
      </c>
      <c r="D125" s="29"/>
      <c r="E125" s="29">
        <v>5.05</v>
      </c>
      <c r="F125" s="29"/>
      <c r="G125" s="29">
        <v>1.25</v>
      </c>
      <c r="H125" s="24" t="s">
        <v>499</v>
      </c>
      <c r="I125" s="24"/>
      <c r="J125" s="43"/>
      <c r="K125" s="33"/>
    </row>
    <row r="126" spans="1:11" ht="25.5" hidden="1">
      <c r="A126" s="101" t="s">
        <v>515</v>
      </c>
      <c r="B126" s="146" t="s">
        <v>418</v>
      </c>
      <c r="C126" s="26">
        <f t="shared" si="3"/>
        <v>6</v>
      </c>
      <c r="D126" s="29"/>
      <c r="E126" s="29">
        <v>2.7</v>
      </c>
      <c r="F126" s="29">
        <v>1.2</v>
      </c>
      <c r="G126" s="29">
        <v>2.1</v>
      </c>
      <c r="H126" s="24" t="s">
        <v>500</v>
      </c>
      <c r="I126" s="24"/>
      <c r="J126" s="43"/>
      <c r="K126" s="33"/>
    </row>
    <row r="127" spans="1:11" ht="25.5" hidden="1">
      <c r="A127" s="101" t="s">
        <v>516</v>
      </c>
      <c r="B127" s="146" t="s">
        <v>419</v>
      </c>
      <c r="C127" s="26">
        <f t="shared" si="3"/>
        <v>5.199999999999999</v>
      </c>
      <c r="D127" s="29"/>
      <c r="E127" s="29">
        <v>3.3</v>
      </c>
      <c r="F127" s="29"/>
      <c r="G127" s="29">
        <v>1.9</v>
      </c>
      <c r="H127" s="24" t="s">
        <v>495</v>
      </c>
      <c r="I127" s="24"/>
      <c r="J127" s="43"/>
      <c r="K127" s="33"/>
    </row>
    <row r="128" spans="1:11" ht="15.75">
      <c r="A128" s="103"/>
      <c r="B128" s="145" t="s">
        <v>327</v>
      </c>
      <c r="C128" s="26">
        <v>133.2</v>
      </c>
      <c r="D128" s="28">
        <f>SUM(D114:D127)</f>
        <v>3.59</v>
      </c>
      <c r="E128" s="28">
        <v>84.33</v>
      </c>
      <c r="F128" s="28">
        <f>SUM(F114:F127)</f>
        <v>2.5999999999999996</v>
      </c>
      <c r="G128" s="28">
        <v>42.68</v>
      </c>
      <c r="H128" s="24" t="s">
        <v>6</v>
      </c>
      <c r="I128" s="24" t="s">
        <v>7</v>
      </c>
      <c r="J128" s="43"/>
      <c r="K128" s="33"/>
    </row>
    <row r="129" spans="1:11" ht="15.75">
      <c r="A129" s="129">
        <v>17</v>
      </c>
      <c r="B129" s="123" t="s">
        <v>563</v>
      </c>
      <c r="C129" s="62">
        <f>D129+E129+F129+G129</f>
        <v>451.9</v>
      </c>
      <c r="D129" s="62">
        <f>D130+D149</f>
        <v>73.2</v>
      </c>
      <c r="E129" s="62">
        <f>E130+E149</f>
        <v>345.2</v>
      </c>
      <c r="F129" s="62">
        <f>F130+F149</f>
        <v>1.5</v>
      </c>
      <c r="G129" s="62">
        <f>G130+G149</f>
        <v>32</v>
      </c>
      <c r="H129" s="64" t="s">
        <v>466</v>
      </c>
      <c r="I129" s="65"/>
      <c r="J129" s="64"/>
      <c r="K129" s="63"/>
    </row>
    <row r="130" spans="1:11" ht="21" customHeight="1">
      <c r="A130" s="101" t="s">
        <v>553</v>
      </c>
      <c r="B130" s="145" t="s">
        <v>326</v>
      </c>
      <c r="C130" s="26">
        <f>D130+E130+F130+G130</f>
        <v>215.79999999999998</v>
      </c>
      <c r="D130" s="29">
        <v>35.1</v>
      </c>
      <c r="E130" s="29">
        <v>178.1</v>
      </c>
      <c r="F130" s="29"/>
      <c r="G130" s="29">
        <v>2.6</v>
      </c>
      <c r="H130" s="24"/>
      <c r="I130" s="24"/>
      <c r="J130" s="33"/>
      <c r="K130" s="33"/>
    </row>
    <row r="131" spans="1:11" ht="15.75" hidden="1">
      <c r="A131" s="101"/>
      <c r="B131" s="70" t="s">
        <v>391</v>
      </c>
      <c r="C131" s="26"/>
      <c r="D131" s="29"/>
      <c r="E131" s="29"/>
      <c r="F131" s="29"/>
      <c r="G131" s="29"/>
      <c r="H131" s="24"/>
      <c r="I131" s="24"/>
      <c r="J131" s="43"/>
      <c r="K131" s="33"/>
    </row>
    <row r="132" spans="1:11" ht="15.75" hidden="1">
      <c r="A132" s="101" t="s">
        <v>554</v>
      </c>
      <c r="B132" s="146" t="s">
        <v>447</v>
      </c>
      <c r="C132" s="26">
        <f>D132+E132+F132+G132</f>
        <v>11.5</v>
      </c>
      <c r="D132" s="29">
        <v>3.3</v>
      </c>
      <c r="E132" s="29">
        <v>6</v>
      </c>
      <c r="F132" s="29"/>
      <c r="G132" s="29">
        <v>2.2</v>
      </c>
      <c r="H132" s="24"/>
      <c r="I132" s="24"/>
      <c r="J132" s="43"/>
      <c r="K132" s="33"/>
    </row>
    <row r="133" spans="1:11" ht="15.75" hidden="1">
      <c r="A133" s="101" t="s">
        <v>555</v>
      </c>
      <c r="B133" s="146" t="s">
        <v>448</v>
      </c>
      <c r="C133" s="26">
        <f aca="true" t="shared" si="4" ref="C133:C148">D133+E133+F133+G133</f>
        <v>7.1</v>
      </c>
      <c r="D133" s="29"/>
      <c r="E133" s="29">
        <v>6.6</v>
      </c>
      <c r="F133" s="29"/>
      <c r="G133" s="29">
        <v>0.5</v>
      </c>
      <c r="H133" s="24"/>
      <c r="I133" s="24"/>
      <c r="J133" s="43"/>
      <c r="K133" s="33"/>
    </row>
    <row r="134" spans="1:11" ht="45" customHeight="1" hidden="1">
      <c r="A134" s="101" t="s">
        <v>556</v>
      </c>
      <c r="B134" s="71" t="s">
        <v>470</v>
      </c>
      <c r="C134" s="26">
        <f t="shared" si="4"/>
        <v>17.150000000000002</v>
      </c>
      <c r="D134" s="29">
        <v>5.5</v>
      </c>
      <c r="E134" s="29">
        <v>10.05</v>
      </c>
      <c r="F134" s="29"/>
      <c r="G134" s="29">
        <v>1.6</v>
      </c>
      <c r="H134" s="24"/>
      <c r="I134" s="24"/>
      <c r="J134" s="43"/>
      <c r="K134" s="33"/>
    </row>
    <row r="135" spans="1:11" ht="15.75" hidden="1">
      <c r="A135" s="101" t="s">
        <v>557</v>
      </c>
      <c r="B135" s="71" t="s">
        <v>471</v>
      </c>
      <c r="C135" s="26">
        <f t="shared" si="4"/>
        <v>13.1</v>
      </c>
      <c r="D135" s="29">
        <v>5</v>
      </c>
      <c r="E135" s="29">
        <v>8.1</v>
      </c>
      <c r="F135" s="29"/>
      <c r="G135" s="29"/>
      <c r="H135" s="24"/>
      <c r="I135" s="24"/>
      <c r="J135" s="43"/>
      <c r="K135" s="33"/>
    </row>
    <row r="136" spans="1:11" ht="19.5" customHeight="1" hidden="1">
      <c r="A136" s="101" t="s">
        <v>558</v>
      </c>
      <c r="B136" s="24" t="s">
        <v>472</v>
      </c>
      <c r="C136" s="26">
        <f t="shared" si="4"/>
        <v>12.5</v>
      </c>
      <c r="D136" s="29"/>
      <c r="E136" s="29">
        <v>12.5</v>
      </c>
      <c r="F136" s="29"/>
      <c r="G136" s="29"/>
      <c r="H136" s="24"/>
      <c r="I136" s="24"/>
      <c r="J136" s="43"/>
      <c r="K136" s="33"/>
    </row>
    <row r="137" spans="1:11" ht="31.5" hidden="1">
      <c r="A137" s="101" t="s">
        <v>14</v>
      </c>
      <c r="B137" s="24" t="s">
        <v>473</v>
      </c>
      <c r="C137" s="26">
        <f t="shared" si="4"/>
        <v>17.2</v>
      </c>
      <c r="D137" s="29">
        <v>0.5</v>
      </c>
      <c r="E137" s="29">
        <v>13.1</v>
      </c>
      <c r="F137" s="29"/>
      <c r="G137" s="29">
        <v>3.6</v>
      </c>
      <c r="H137" s="24" t="s">
        <v>390</v>
      </c>
      <c r="I137" s="24"/>
      <c r="J137" s="43"/>
      <c r="K137" s="33"/>
    </row>
    <row r="138" spans="1:11" ht="15.75" hidden="1">
      <c r="A138" s="101" t="s">
        <v>15</v>
      </c>
      <c r="B138" s="24" t="s">
        <v>474</v>
      </c>
      <c r="C138" s="26">
        <f t="shared" si="4"/>
        <v>11.8</v>
      </c>
      <c r="D138" s="29">
        <v>0.7</v>
      </c>
      <c r="E138" s="29">
        <v>8.4</v>
      </c>
      <c r="F138" s="29"/>
      <c r="G138" s="29">
        <v>2.7</v>
      </c>
      <c r="H138" s="24" t="s">
        <v>500</v>
      </c>
      <c r="I138" s="24"/>
      <c r="J138" s="43"/>
      <c r="K138" s="33"/>
    </row>
    <row r="139" spans="1:11" ht="31.5" hidden="1">
      <c r="A139" s="101" t="s">
        <v>16</v>
      </c>
      <c r="B139" s="24" t="s">
        <v>475</v>
      </c>
      <c r="C139" s="26">
        <f t="shared" si="4"/>
        <v>14.1</v>
      </c>
      <c r="D139" s="29">
        <v>5.9</v>
      </c>
      <c r="E139" s="29">
        <v>6.3</v>
      </c>
      <c r="F139" s="29"/>
      <c r="G139" s="29">
        <v>1.9</v>
      </c>
      <c r="H139" s="24"/>
      <c r="I139" s="24"/>
      <c r="J139" s="43"/>
      <c r="K139" s="33"/>
    </row>
    <row r="140" spans="1:11" ht="25.5" hidden="1">
      <c r="A140" s="101" t="s">
        <v>17</v>
      </c>
      <c r="B140" s="24" t="s">
        <v>476</v>
      </c>
      <c r="C140" s="26">
        <f t="shared" si="4"/>
        <v>12</v>
      </c>
      <c r="D140" s="29"/>
      <c r="E140" s="29">
        <v>12</v>
      </c>
      <c r="F140" s="29"/>
      <c r="G140" s="29"/>
      <c r="H140" s="24"/>
      <c r="I140" s="24"/>
      <c r="J140" s="43"/>
      <c r="K140" s="33"/>
    </row>
    <row r="141" spans="1:11" ht="25.5" hidden="1">
      <c r="A141" s="101" t="s">
        <v>18</v>
      </c>
      <c r="B141" s="24" t="s">
        <v>477</v>
      </c>
      <c r="C141" s="26">
        <f t="shared" si="4"/>
        <v>16.2</v>
      </c>
      <c r="D141" s="29">
        <v>0.6</v>
      </c>
      <c r="E141" s="29">
        <v>14.3</v>
      </c>
      <c r="F141" s="29">
        <v>0.9</v>
      </c>
      <c r="G141" s="29">
        <v>0.4</v>
      </c>
      <c r="H141" s="24"/>
      <c r="I141" s="24"/>
      <c r="J141" s="43"/>
      <c r="K141" s="33"/>
    </row>
    <row r="142" spans="1:11" ht="25.5" hidden="1">
      <c r="A142" s="101" t="s">
        <v>19</v>
      </c>
      <c r="B142" s="24" t="s">
        <v>478</v>
      </c>
      <c r="C142" s="26">
        <f t="shared" si="4"/>
        <v>19.7</v>
      </c>
      <c r="D142" s="29">
        <v>6.1</v>
      </c>
      <c r="E142" s="29">
        <v>2.8</v>
      </c>
      <c r="F142" s="29"/>
      <c r="G142" s="29">
        <v>10.8</v>
      </c>
      <c r="H142" s="24"/>
      <c r="I142" s="24"/>
      <c r="J142" s="43"/>
      <c r="K142" s="33"/>
    </row>
    <row r="143" spans="1:11" ht="25.5" hidden="1">
      <c r="A143" s="101" t="s">
        <v>20</v>
      </c>
      <c r="B143" s="24" t="s">
        <v>479</v>
      </c>
      <c r="C143" s="26">
        <f t="shared" si="4"/>
        <v>9.6</v>
      </c>
      <c r="D143" s="29">
        <v>1.2</v>
      </c>
      <c r="E143" s="29">
        <v>8.4</v>
      </c>
      <c r="F143" s="29"/>
      <c r="G143" s="29"/>
      <c r="H143" s="24"/>
      <c r="I143" s="24"/>
      <c r="J143" s="43"/>
      <c r="K143" s="33"/>
    </row>
    <row r="144" spans="1:11" ht="31.5" hidden="1">
      <c r="A144" s="101" t="s">
        <v>21</v>
      </c>
      <c r="B144" s="24" t="s">
        <v>480</v>
      </c>
      <c r="C144" s="26">
        <f t="shared" si="4"/>
        <v>10</v>
      </c>
      <c r="D144" s="29"/>
      <c r="E144" s="29">
        <v>9</v>
      </c>
      <c r="F144" s="29"/>
      <c r="G144" s="29">
        <v>1</v>
      </c>
      <c r="H144" s="24"/>
      <c r="I144" s="24"/>
      <c r="J144" s="43"/>
      <c r="K144" s="33"/>
    </row>
    <row r="145" spans="1:11" ht="18.75" customHeight="1" hidden="1">
      <c r="A145" s="101" t="s">
        <v>22</v>
      </c>
      <c r="B145" s="24" t="s">
        <v>481</v>
      </c>
      <c r="C145" s="26">
        <f t="shared" si="4"/>
        <v>11.5</v>
      </c>
      <c r="D145" s="29"/>
      <c r="E145" s="29">
        <v>8.7</v>
      </c>
      <c r="F145" s="29">
        <v>0.6</v>
      </c>
      <c r="G145" s="29">
        <v>2.2</v>
      </c>
      <c r="H145" s="24" t="s">
        <v>389</v>
      </c>
      <c r="I145" s="24"/>
      <c r="J145" s="43"/>
      <c r="K145" s="33"/>
    </row>
    <row r="146" spans="1:11" ht="18" customHeight="1" hidden="1">
      <c r="A146" s="101" t="s">
        <v>23</v>
      </c>
      <c r="B146" s="24" t="s">
        <v>482</v>
      </c>
      <c r="C146" s="26">
        <f t="shared" si="4"/>
        <v>23</v>
      </c>
      <c r="D146" s="29">
        <v>6.2</v>
      </c>
      <c r="E146" s="29">
        <v>16.8</v>
      </c>
      <c r="F146" s="29"/>
      <c r="G146" s="29"/>
      <c r="H146" s="24"/>
      <c r="I146" s="24"/>
      <c r="J146" s="43"/>
      <c r="K146" s="33"/>
    </row>
    <row r="147" spans="1:11" ht="17.25" customHeight="1" hidden="1">
      <c r="A147" s="101" t="s">
        <v>24</v>
      </c>
      <c r="B147" s="24" t="s">
        <v>483</v>
      </c>
      <c r="C147" s="26">
        <f t="shared" si="4"/>
        <v>19.5</v>
      </c>
      <c r="D147" s="29">
        <v>3.1</v>
      </c>
      <c r="E147" s="29">
        <v>16.4</v>
      </c>
      <c r="F147" s="29"/>
      <c r="G147" s="29"/>
      <c r="H147" s="24"/>
      <c r="I147" s="24"/>
      <c r="J147" s="43"/>
      <c r="K147" s="33"/>
    </row>
    <row r="148" spans="1:11" ht="25.5" hidden="1">
      <c r="A148" s="101" t="s">
        <v>25</v>
      </c>
      <c r="B148" s="146" t="s">
        <v>484</v>
      </c>
      <c r="C148" s="26">
        <f t="shared" si="4"/>
        <v>10.1</v>
      </c>
      <c r="D148" s="29"/>
      <c r="E148" s="29">
        <v>7.6</v>
      </c>
      <c r="F148" s="29"/>
      <c r="G148" s="29">
        <v>2.5</v>
      </c>
      <c r="H148" s="24"/>
      <c r="I148" s="24"/>
      <c r="J148" s="43"/>
      <c r="K148" s="33"/>
    </row>
    <row r="149" spans="1:11" ht="15.75">
      <c r="A149" s="103"/>
      <c r="B149" s="145" t="s">
        <v>327</v>
      </c>
      <c r="C149" s="26">
        <v>236.1</v>
      </c>
      <c r="D149" s="28">
        <f>SUM(D131:D148)</f>
        <v>38.1</v>
      </c>
      <c r="E149" s="28">
        <v>167.1</v>
      </c>
      <c r="F149" s="28">
        <f>SUM(F131:F148)</f>
        <v>1.5</v>
      </c>
      <c r="G149" s="28">
        <f>SUM(G131:G148)</f>
        <v>29.400000000000002</v>
      </c>
      <c r="H149" s="24" t="s">
        <v>466</v>
      </c>
      <c r="I149" s="43"/>
      <c r="J149" s="43"/>
      <c r="K149" s="33"/>
    </row>
    <row r="150" spans="1:11" ht="19.5" customHeight="1">
      <c r="A150" s="129">
        <v>18</v>
      </c>
      <c r="B150" s="123" t="s">
        <v>569</v>
      </c>
      <c r="C150" s="62">
        <f>D150+E150+F150+G150</f>
        <v>273</v>
      </c>
      <c r="D150" s="62">
        <f>D151+D152+D166</f>
        <v>40.199999999999996</v>
      </c>
      <c r="E150" s="62">
        <f>E151+E152+E166</f>
        <v>150.7</v>
      </c>
      <c r="F150" s="62">
        <f>F151+F152+F166</f>
        <v>0</v>
      </c>
      <c r="G150" s="62">
        <f>G151+G152+G166</f>
        <v>82.1</v>
      </c>
      <c r="H150" s="64" t="s">
        <v>92</v>
      </c>
      <c r="I150" s="64" t="s">
        <v>278</v>
      </c>
      <c r="J150" s="64"/>
      <c r="K150" s="63"/>
    </row>
    <row r="151" spans="1:11" ht="18.75" customHeight="1">
      <c r="A151" s="105" t="s">
        <v>26</v>
      </c>
      <c r="B151" s="24" t="s">
        <v>13</v>
      </c>
      <c r="C151" s="119">
        <f>D151+E151+F151+G151</f>
        <v>27.2</v>
      </c>
      <c r="D151" s="29">
        <f>31.2-7.5</f>
        <v>23.7</v>
      </c>
      <c r="E151" s="29"/>
      <c r="F151" s="29"/>
      <c r="G151" s="29">
        <v>3.5</v>
      </c>
      <c r="H151" s="24" t="s">
        <v>487</v>
      </c>
      <c r="I151" s="24"/>
      <c r="J151" s="102"/>
      <c r="K151" s="33"/>
    </row>
    <row r="152" spans="1:11" ht="31.5">
      <c r="A152" s="105" t="s">
        <v>27</v>
      </c>
      <c r="B152" s="145" t="s">
        <v>326</v>
      </c>
      <c r="C152" s="119">
        <f>D152+E152+F152+G152</f>
        <v>113.6</v>
      </c>
      <c r="D152" s="35">
        <v>1.7</v>
      </c>
      <c r="E152" s="35">
        <v>33.3</v>
      </c>
      <c r="F152" s="35"/>
      <c r="G152" s="35">
        <f>47.1+31.5</f>
        <v>78.6</v>
      </c>
      <c r="H152" s="41" t="s">
        <v>490</v>
      </c>
      <c r="I152" s="41" t="s">
        <v>344</v>
      </c>
      <c r="J152" s="43">
        <v>114</v>
      </c>
      <c r="K152" s="106"/>
    </row>
    <row r="153" spans="1:11" ht="15.75" hidden="1">
      <c r="A153" s="105"/>
      <c r="B153" s="70" t="s">
        <v>391</v>
      </c>
      <c r="C153" s="119">
        <f>C150-273</f>
        <v>0</v>
      </c>
      <c r="D153" s="35">
        <f>39.8-32.3</f>
        <v>7.5</v>
      </c>
      <c r="E153" s="35"/>
      <c r="F153" s="35"/>
      <c r="G153" s="35"/>
      <c r="H153" s="41"/>
      <c r="I153" s="41"/>
      <c r="J153" s="43"/>
      <c r="K153" s="106"/>
    </row>
    <row r="154" spans="1:11" ht="15.75" hidden="1">
      <c r="A154" s="105" t="s">
        <v>28</v>
      </c>
      <c r="B154" s="146" t="s">
        <v>226</v>
      </c>
      <c r="C154" s="119">
        <f aca="true" t="shared" si="5" ref="C154:C165">D154+E154+F154+G154</f>
        <v>10.200000000000001</v>
      </c>
      <c r="D154" s="35">
        <v>0.8</v>
      </c>
      <c r="E154" s="35">
        <v>9.4</v>
      </c>
      <c r="F154" s="35"/>
      <c r="G154" s="35"/>
      <c r="H154" s="41"/>
      <c r="I154" s="41"/>
      <c r="J154" s="43"/>
      <c r="K154" s="106"/>
    </row>
    <row r="155" spans="1:11" ht="15.75" hidden="1">
      <c r="A155" s="105" t="s">
        <v>29</v>
      </c>
      <c r="B155" s="146" t="s">
        <v>227</v>
      </c>
      <c r="C155" s="119">
        <f t="shared" si="5"/>
        <v>5.4</v>
      </c>
      <c r="D155" s="35"/>
      <c r="E155" s="35">
        <v>5.4</v>
      </c>
      <c r="F155" s="35"/>
      <c r="G155" s="35"/>
      <c r="H155" s="33"/>
      <c r="I155" s="41"/>
      <c r="J155" s="43"/>
      <c r="K155" s="106"/>
    </row>
    <row r="156" spans="1:11" ht="15.75" hidden="1">
      <c r="A156" s="105" t="s">
        <v>30</v>
      </c>
      <c r="B156" s="146" t="s">
        <v>228</v>
      </c>
      <c r="C156" s="119">
        <f t="shared" si="5"/>
        <v>9.7</v>
      </c>
      <c r="D156" s="35">
        <v>2</v>
      </c>
      <c r="E156" s="35">
        <v>7.7</v>
      </c>
      <c r="F156" s="35"/>
      <c r="G156" s="35"/>
      <c r="H156" s="41" t="s">
        <v>433</v>
      </c>
      <c r="I156" s="41"/>
      <c r="J156" s="43"/>
      <c r="K156" s="106"/>
    </row>
    <row r="157" spans="1:11" ht="15.75" hidden="1">
      <c r="A157" s="105" t="s">
        <v>31</v>
      </c>
      <c r="B157" s="146" t="s">
        <v>229</v>
      </c>
      <c r="C157" s="119">
        <f t="shared" si="5"/>
        <v>7.6</v>
      </c>
      <c r="D157" s="35">
        <v>1</v>
      </c>
      <c r="E157" s="35">
        <v>6.6</v>
      </c>
      <c r="F157" s="35"/>
      <c r="G157" s="35"/>
      <c r="H157" s="41" t="s">
        <v>495</v>
      </c>
      <c r="I157" s="41"/>
      <c r="J157" s="43"/>
      <c r="K157" s="106"/>
    </row>
    <row r="158" spans="1:11" ht="15.75" hidden="1">
      <c r="A158" s="105" t="s">
        <v>32</v>
      </c>
      <c r="B158" s="146" t="s">
        <v>230</v>
      </c>
      <c r="C158" s="119">
        <f t="shared" si="5"/>
        <v>3.9</v>
      </c>
      <c r="D158" s="35">
        <v>0.9</v>
      </c>
      <c r="E158" s="35">
        <v>3</v>
      </c>
      <c r="F158" s="35"/>
      <c r="G158" s="35"/>
      <c r="H158" s="41"/>
      <c r="I158" s="41"/>
      <c r="J158" s="43"/>
      <c r="K158" s="106"/>
    </row>
    <row r="159" spans="1:11" ht="31.5" hidden="1">
      <c r="A159" s="105" t="s">
        <v>33</v>
      </c>
      <c r="B159" s="24" t="s">
        <v>231</v>
      </c>
      <c r="C159" s="119">
        <f t="shared" si="5"/>
        <v>13.5</v>
      </c>
      <c r="D159" s="35">
        <v>1</v>
      </c>
      <c r="E159" s="35">
        <v>12.5</v>
      </c>
      <c r="F159" s="35"/>
      <c r="G159" s="35"/>
      <c r="H159" s="41" t="s">
        <v>89</v>
      </c>
      <c r="I159" s="41"/>
      <c r="J159" s="43"/>
      <c r="K159" s="106"/>
    </row>
    <row r="160" spans="1:11" ht="15.75" hidden="1">
      <c r="A160" s="105" t="s">
        <v>34</v>
      </c>
      <c r="B160" s="146" t="s">
        <v>232</v>
      </c>
      <c r="C160" s="119">
        <f t="shared" si="5"/>
        <v>26.5</v>
      </c>
      <c r="D160" s="35">
        <v>2.5</v>
      </c>
      <c r="E160" s="35">
        <v>24</v>
      </c>
      <c r="F160" s="35"/>
      <c r="G160" s="35"/>
      <c r="H160" s="41" t="s">
        <v>367</v>
      </c>
      <c r="I160" s="41" t="s">
        <v>489</v>
      </c>
      <c r="J160" s="43"/>
      <c r="K160" s="33"/>
    </row>
    <row r="161" spans="1:11" ht="25.5" hidden="1">
      <c r="A161" s="105" t="s">
        <v>35</v>
      </c>
      <c r="B161" s="146" t="s">
        <v>233</v>
      </c>
      <c r="C161" s="119">
        <f t="shared" si="5"/>
        <v>15.5</v>
      </c>
      <c r="D161" s="35">
        <v>1</v>
      </c>
      <c r="E161" s="35">
        <v>14.5</v>
      </c>
      <c r="F161" s="35"/>
      <c r="G161" s="35"/>
      <c r="H161" s="41" t="s">
        <v>488</v>
      </c>
      <c r="I161" s="41" t="s">
        <v>174</v>
      </c>
      <c r="J161" s="43"/>
      <c r="K161" s="33"/>
    </row>
    <row r="162" spans="1:11" ht="31.5" hidden="1">
      <c r="A162" s="105" t="s">
        <v>36</v>
      </c>
      <c r="B162" s="24" t="s">
        <v>234</v>
      </c>
      <c r="C162" s="119">
        <f t="shared" si="5"/>
        <v>10</v>
      </c>
      <c r="D162" s="35">
        <v>1.5</v>
      </c>
      <c r="E162" s="35">
        <v>8.5</v>
      </c>
      <c r="F162" s="35"/>
      <c r="G162" s="35"/>
      <c r="H162" s="41" t="s">
        <v>90</v>
      </c>
      <c r="I162" s="41"/>
      <c r="J162" s="43"/>
      <c r="K162" s="106"/>
    </row>
    <row r="163" spans="1:11" ht="25.5" hidden="1">
      <c r="A163" s="105" t="s">
        <v>37</v>
      </c>
      <c r="B163" s="146" t="s">
        <v>235</v>
      </c>
      <c r="C163" s="119">
        <f t="shared" si="5"/>
        <v>5.300000000000001</v>
      </c>
      <c r="D163" s="35">
        <v>1.6</v>
      </c>
      <c r="E163" s="35">
        <v>3.7</v>
      </c>
      <c r="F163" s="35"/>
      <c r="G163" s="35"/>
      <c r="H163" s="41" t="s">
        <v>367</v>
      </c>
      <c r="I163" s="41"/>
      <c r="J163" s="43"/>
      <c r="K163" s="106"/>
    </row>
    <row r="164" spans="1:11" ht="25.5" hidden="1">
      <c r="A164" s="105" t="s">
        <v>38</v>
      </c>
      <c r="B164" s="146" t="s">
        <v>203</v>
      </c>
      <c r="C164" s="119">
        <f t="shared" si="5"/>
        <v>9.5</v>
      </c>
      <c r="D164" s="35">
        <v>1</v>
      </c>
      <c r="E164" s="35">
        <v>8.5</v>
      </c>
      <c r="F164" s="35"/>
      <c r="G164" s="35"/>
      <c r="H164" s="41" t="s">
        <v>486</v>
      </c>
      <c r="I164" s="41"/>
      <c r="J164" s="43"/>
      <c r="K164" s="106"/>
    </row>
    <row r="165" spans="1:11" ht="25.5" hidden="1">
      <c r="A165" s="105" t="s">
        <v>39</v>
      </c>
      <c r="B165" s="146" t="s">
        <v>236</v>
      </c>
      <c r="C165" s="119">
        <f t="shared" si="5"/>
        <v>15.1</v>
      </c>
      <c r="D165" s="35">
        <v>1.5</v>
      </c>
      <c r="E165" s="35">
        <v>13.6</v>
      </c>
      <c r="F165" s="35"/>
      <c r="G165" s="35"/>
      <c r="H165" s="41" t="s">
        <v>367</v>
      </c>
      <c r="I165" s="41"/>
      <c r="J165" s="43"/>
      <c r="K165" s="106"/>
    </row>
    <row r="166" spans="1:11" ht="15.75">
      <c r="A166" s="107"/>
      <c r="B166" s="145" t="s">
        <v>327</v>
      </c>
      <c r="C166" s="121">
        <f>SUM(C154:C165)</f>
        <v>132.2</v>
      </c>
      <c r="D166" s="152">
        <f>SUM(D154:D165)</f>
        <v>14.799999999999999</v>
      </c>
      <c r="E166" s="152">
        <f>SUM(E154:E165)</f>
        <v>117.39999999999999</v>
      </c>
      <c r="F166" s="152">
        <f>SUM(F154:F165)</f>
        <v>0</v>
      </c>
      <c r="G166" s="152">
        <f>SUM(G154:G165)</f>
        <v>0</v>
      </c>
      <c r="H166" s="41" t="s">
        <v>91</v>
      </c>
      <c r="I166" s="41" t="s">
        <v>277</v>
      </c>
      <c r="J166" s="43"/>
      <c r="K166" s="134"/>
    </row>
    <row r="167" spans="1:11" ht="20.25" customHeight="1">
      <c r="A167" s="129">
        <v>19</v>
      </c>
      <c r="B167" s="123" t="s">
        <v>570</v>
      </c>
      <c r="C167" s="62">
        <f>D167+E167+F167+G167</f>
        <v>512.2</v>
      </c>
      <c r="D167" s="62">
        <f>D168+D187</f>
        <v>7.82</v>
      </c>
      <c r="E167" s="62">
        <f>E168+E187</f>
        <v>423.98</v>
      </c>
      <c r="F167" s="62">
        <f>F168+F187</f>
        <v>25.45</v>
      </c>
      <c r="G167" s="62">
        <f>G168+G187</f>
        <v>54.95</v>
      </c>
      <c r="H167" s="64" t="s">
        <v>275</v>
      </c>
      <c r="I167" s="64" t="s">
        <v>276</v>
      </c>
      <c r="J167" s="64"/>
      <c r="K167" s="131"/>
    </row>
    <row r="168" spans="1:11" ht="18.75" customHeight="1">
      <c r="A168" s="101" t="s">
        <v>40</v>
      </c>
      <c r="B168" s="145" t="s">
        <v>326</v>
      </c>
      <c r="C168" s="26">
        <f aca="true" t="shared" si="6" ref="C168:C186">D168+E168+F168+G168</f>
        <v>241.9</v>
      </c>
      <c r="D168" s="29">
        <f>2+0.8+1</f>
        <v>3.8</v>
      </c>
      <c r="E168" s="29">
        <v>183.25</v>
      </c>
      <c r="F168" s="29">
        <v>16</v>
      </c>
      <c r="G168" s="29">
        <v>38.85</v>
      </c>
      <c r="H168" s="24" t="s">
        <v>446</v>
      </c>
      <c r="I168" s="24" t="s">
        <v>445</v>
      </c>
      <c r="J168" s="43">
        <v>241.9</v>
      </c>
      <c r="K168" s="33"/>
    </row>
    <row r="169" spans="1:11" ht="15.75" hidden="1">
      <c r="A169" s="101"/>
      <c r="B169" s="70" t="s">
        <v>391</v>
      </c>
      <c r="C169" s="26"/>
      <c r="D169" s="29"/>
      <c r="E169" s="29"/>
      <c r="F169" s="29"/>
      <c r="G169" s="29"/>
      <c r="H169" s="24"/>
      <c r="I169" s="24"/>
      <c r="J169" s="43"/>
      <c r="K169" s="33"/>
    </row>
    <row r="170" spans="1:11" ht="15.75" hidden="1">
      <c r="A170" s="105" t="s">
        <v>41</v>
      </c>
      <c r="B170" s="146" t="s">
        <v>422</v>
      </c>
      <c r="C170" s="26">
        <f t="shared" si="6"/>
        <v>13.5</v>
      </c>
      <c r="D170" s="35"/>
      <c r="E170" s="35">
        <v>13.5</v>
      </c>
      <c r="F170" s="35"/>
      <c r="G170" s="35"/>
      <c r="H170" s="41" t="s">
        <v>423</v>
      </c>
      <c r="I170" s="41" t="s">
        <v>358</v>
      </c>
      <c r="J170" s="43"/>
      <c r="K170" s="106"/>
    </row>
    <row r="171" spans="1:11" ht="15.75" hidden="1">
      <c r="A171" s="105" t="s">
        <v>42</v>
      </c>
      <c r="B171" s="146" t="s">
        <v>444</v>
      </c>
      <c r="C171" s="26">
        <f t="shared" si="6"/>
        <v>11.2</v>
      </c>
      <c r="D171" s="35"/>
      <c r="E171" s="35">
        <v>5.5</v>
      </c>
      <c r="F171" s="35"/>
      <c r="G171" s="35">
        <v>5.7</v>
      </c>
      <c r="H171" s="41" t="s">
        <v>498</v>
      </c>
      <c r="I171" s="41"/>
      <c r="J171" s="43"/>
      <c r="K171" s="106"/>
    </row>
    <row r="172" spans="1:11" ht="15.75" hidden="1">
      <c r="A172" s="105" t="s">
        <v>43</v>
      </c>
      <c r="B172" s="146" t="s">
        <v>443</v>
      </c>
      <c r="C172" s="26">
        <f t="shared" si="6"/>
        <v>8.8</v>
      </c>
      <c r="D172" s="35"/>
      <c r="E172" s="35">
        <v>8.8</v>
      </c>
      <c r="F172" s="35"/>
      <c r="G172" s="35"/>
      <c r="H172" s="41" t="s">
        <v>424</v>
      </c>
      <c r="I172" s="41"/>
      <c r="J172" s="43"/>
      <c r="K172" s="106"/>
    </row>
    <row r="173" spans="1:11" ht="15.75" hidden="1">
      <c r="A173" s="105" t="s">
        <v>44</v>
      </c>
      <c r="B173" s="146" t="s">
        <v>442</v>
      </c>
      <c r="C173" s="26">
        <f t="shared" si="6"/>
        <v>10.2</v>
      </c>
      <c r="D173" s="35"/>
      <c r="E173" s="35">
        <v>9.2</v>
      </c>
      <c r="F173" s="35"/>
      <c r="G173" s="35">
        <v>1</v>
      </c>
      <c r="H173" s="41" t="s">
        <v>367</v>
      </c>
      <c r="I173" s="41"/>
      <c r="J173" s="43"/>
      <c r="K173" s="106"/>
    </row>
    <row r="174" spans="1:11" ht="15.75" hidden="1">
      <c r="A174" s="105" t="s">
        <v>45</v>
      </c>
      <c r="B174" s="146" t="s">
        <v>441</v>
      </c>
      <c r="C174" s="26">
        <f t="shared" si="6"/>
        <v>11.5</v>
      </c>
      <c r="D174" s="35"/>
      <c r="E174" s="35">
        <v>10.5</v>
      </c>
      <c r="F174" s="35">
        <v>1</v>
      </c>
      <c r="G174" s="35"/>
      <c r="H174" s="41" t="s">
        <v>491</v>
      </c>
      <c r="I174" s="41"/>
      <c r="J174" s="43"/>
      <c r="K174" s="106"/>
    </row>
    <row r="175" spans="1:11" ht="15.75" hidden="1">
      <c r="A175" s="105" t="s">
        <v>46</v>
      </c>
      <c r="B175" s="146" t="s">
        <v>440</v>
      </c>
      <c r="C175" s="26">
        <f t="shared" si="6"/>
        <v>15.6</v>
      </c>
      <c r="D175" s="35"/>
      <c r="E175" s="35">
        <v>11.4</v>
      </c>
      <c r="F175" s="35">
        <v>2.3</v>
      </c>
      <c r="G175" s="35">
        <v>1.9</v>
      </c>
      <c r="H175" s="41" t="s">
        <v>497</v>
      </c>
      <c r="I175" s="41"/>
      <c r="J175" s="43"/>
      <c r="K175" s="106"/>
    </row>
    <row r="176" spans="1:11" ht="25.5" hidden="1">
      <c r="A176" s="105" t="s">
        <v>47</v>
      </c>
      <c r="B176" s="146" t="s">
        <v>437</v>
      </c>
      <c r="C176" s="26">
        <f t="shared" si="6"/>
        <v>10.8</v>
      </c>
      <c r="D176" s="35"/>
      <c r="E176" s="35">
        <v>9.3</v>
      </c>
      <c r="F176" s="35"/>
      <c r="G176" s="35">
        <v>1.5</v>
      </c>
      <c r="H176" s="41"/>
      <c r="I176" s="41"/>
      <c r="J176" s="43"/>
      <c r="K176" s="106"/>
    </row>
    <row r="177" spans="1:11" ht="31.5" hidden="1">
      <c r="A177" s="105" t="s">
        <v>48</v>
      </c>
      <c r="B177" s="41" t="s">
        <v>438</v>
      </c>
      <c r="C177" s="26">
        <f t="shared" si="6"/>
        <v>7</v>
      </c>
      <c r="D177" s="35"/>
      <c r="E177" s="35">
        <v>6</v>
      </c>
      <c r="F177" s="35">
        <v>1</v>
      </c>
      <c r="G177" s="35"/>
      <c r="H177" s="41"/>
      <c r="I177" s="41"/>
      <c r="J177" s="43"/>
      <c r="K177" s="106"/>
    </row>
    <row r="178" spans="1:11" ht="25.5" hidden="1">
      <c r="A178" s="105" t="s">
        <v>49</v>
      </c>
      <c r="B178" s="146" t="s">
        <v>439</v>
      </c>
      <c r="C178" s="26">
        <f t="shared" si="6"/>
        <v>11.3</v>
      </c>
      <c r="D178" s="35"/>
      <c r="E178" s="35">
        <v>11.3</v>
      </c>
      <c r="F178" s="35"/>
      <c r="G178" s="35"/>
      <c r="H178" s="41" t="s">
        <v>367</v>
      </c>
      <c r="I178" s="41" t="s">
        <v>367</v>
      </c>
      <c r="J178" s="43"/>
      <c r="K178" s="106"/>
    </row>
    <row r="179" spans="1:11" ht="25.5" hidden="1">
      <c r="A179" s="105" t="s">
        <v>50</v>
      </c>
      <c r="B179" s="146" t="s">
        <v>436</v>
      </c>
      <c r="C179" s="26">
        <f t="shared" si="6"/>
        <v>16.4</v>
      </c>
      <c r="D179" s="35"/>
      <c r="E179" s="35">
        <v>13.9</v>
      </c>
      <c r="F179" s="35">
        <v>2.5</v>
      </c>
      <c r="G179" s="35"/>
      <c r="H179" s="41" t="s">
        <v>498</v>
      </c>
      <c r="I179" s="41"/>
      <c r="J179" s="43"/>
      <c r="K179" s="106"/>
    </row>
    <row r="180" spans="1:11" ht="25.5" hidden="1">
      <c r="A180" s="105" t="s">
        <v>51</v>
      </c>
      <c r="B180" s="146" t="s">
        <v>434</v>
      </c>
      <c r="C180" s="26">
        <f t="shared" si="6"/>
        <v>12.8</v>
      </c>
      <c r="D180" s="35">
        <v>0.22</v>
      </c>
      <c r="E180" s="35">
        <v>12.13</v>
      </c>
      <c r="F180" s="35">
        <v>0.45</v>
      </c>
      <c r="G180" s="35"/>
      <c r="H180" s="41" t="s">
        <v>433</v>
      </c>
      <c r="I180" s="41"/>
      <c r="J180" s="43"/>
      <c r="K180" s="106"/>
    </row>
    <row r="181" spans="1:11" ht="25.5" hidden="1">
      <c r="A181" s="105" t="s">
        <v>52</v>
      </c>
      <c r="B181" s="146" t="s">
        <v>435</v>
      </c>
      <c r="C181" s="26">
        <f t="shared" si="6"/>
        <v>30</v>
      </c>
      <c r="D181" s="35"/>
      <c r="E181" s="35">
        <v>29.9</v>
      </c>
      <c r="F181" s="35">
        <v>0.1</v>
      </c>
      <c r="G181" s="35"/>
      <c r="H181" s="41"/>
      <c r="I181" s="41" t="s">
        <v>423</v>
      </c>
      <c r="J181" s="43"/>
      <c r="K181" s="106"/>
    </row>
    <row r="182" spans="1:11" ht="25.5" hidden="1">
      <c r="A182" s="105" t="s">
        <v>53</v>
      </c>
      <c r="B182" s="146" t="s">
        <v>432</v>
      </c>
      <c r="C182" s="26">
        <f t="shared" si="6"/>
        <v>10</v>
      </c>
      <c r="D182" s="35"/>
      <c r="E182" s="35">
        <v>10</v>
      </c>
      <c r="F182" s="35"/>
      <c r="G182" s="35"/>
      <c r="H182" s="41"/>
      <c r="I182" s="41"/>
      <c r="J182" s="43"/>
      <c r="K182" s="106"/>
    </row>
    <row r="183" spans="1:11" ht="25.5" hidden="1">
      <c r="A183" s="105" t="s">
        <v>54</v>
      </c>
      <c r="B183" s="146" t="s">
        <v>431</v>
      </c>
      <c r="C183" s="26">
        <f t="shared" si="6"/>
        <v>18.1</v>
      </c>
      <c r="D183" s="35"/>
      <c r="E183" s="35">
        <v>16.1</v>
      </c>
      <c r="F183" s="35">
        <v>0.6</v>
      </c>
      <c r="G183" s="35">
        <v>1.4</v>
      </c>
      <c r="H183" s="41" t="s">
        <v>491</v>
      </c>
      <c r="I183" s="41"/>
      <c r="J183" s="43"/>
      <c r="K183" s="106"/>
    </row>
    <row r="184" spans="1:11" ht="25.5" hidden="1">
      <c r="A184" s="105" t="s">
        <v>55</v>
      </c>
      <c r="B184" s="146" t="s">
        <v>430</v>
      </c>
      <c r="C184" s="26">
        <f t="shared" si="6"/>
        <v>58.5</v>
      </c>
      <c r="D184" s="35">
        <v>3</v>
      </c>
      <c r="E184" s="35">
        <v>52</v>
      </c>
      <c r="F184" s="35"/>
      <c r="G184" s="35">
        <v>3.5</v>
      </c>
      <c r="H184" s="41" t="s">
        <v>429</v>
      </c>
      <c r="I184" s="41" t="s">
        <v>428</v>
      </c>
      <c r="J184" s="43"/>
      <c r="K184" s="106"/>
    </row>
    <row r="185" spans="1:11" ht="25.5" hidden="1">
      <c r="A185" s="105" t="s">
        <v>56</v>
      </c>
      <c r="B185" s="146" t="s">
        <v>427</v>
      </c>
      <c r="C185" s="26">
        <f t="shared" si="6"/>
        <v>6</v>
      </c>
      <c r="D185" s="35">
        <v>0.8</v>
      </c>
      <c r="E185" s="35">
        <v>5.2</v>
      </c>
      <c r="F185" s="35"/>
      <c r="G185" s="35"/>
      <c r="H185" s="41"/>
      <c r="I185" s="41"/>
      <c r="J185" s="43"/>
      <c r="K185" s="106"/>
    </row>
    <row r="186" spans="1:11" ht="25.5" hidden="1">
      <c r="A186" s="105" t="s">
        <v>57</v>
      </c>
      <c r="B186" s="146" t="s">
        <v>425</v>
      </c>
      <c r="C186" s="26">
        <f t="shared" si="6"/>
        <v>18.6</v>
      </c>
      <c r="D186" s="35"/>
      <c r="E186" s="35">
        <v>16</v>
      </c>
      <c r="F186" s="35">
        <v>1.5</v>
      </c>
      <c r="G186" s="35">
        <v>1.1</v>
      </c>
      <c r="H186" s="41" t="s">
        <v>426</v>
      </c>
      <c r="I186" s="41"/>
      <c r="J186" s="43"/>
      <c r="K186" s="106"/>
    </row>
    <row r="187" spans="1:11" ht="15.75">
      <c r="A187" s="107"/>
      <c r="B187" s="145" t="s">
        <v>327</v>
      </c>
      <c r="C187" s="26">
        <f>SUM(C170:C186)</f>
        <v>270.3</v>
      </c>
      <c r="D187" s="28">
        <f>SUM(D170:D186)</f>
        <v>4.0200000000000005</v>
      </c>
      <c r="E187" s="28">
        <f>SUM(E170:E186)</f>
        <v>240.73</v>
      </c>
      <c r="F187" s="28">
        <f>SUM(F170:F186)</f>
        <v>9.45</v>
      </c>
      <c r="G187" s="28">
        <f>SUM(G170:G186)</f>
        <v>16.1</v>
      </c>
      <c r="H187" s="41" t="s">
        <v>8</v>
      </c>
      <c r="I187" s="41" t="s">
        <v>9</v>
      </c>
      <c r="J187" s="43"/>
      <c r="K187" s="106"/>
    </row>
    <row r="188" spans="1:11" ht="17.25" customHeight="1">
      <c r="A188" s="129">
        <v>20</v>
      </c>
      <c r="B188" s="123" t="s">
        <v>564</v>
      </c>
      <c r="C188" s="62">
        <f>D188+E188+F188+G188</f>
        <v>352.07</v>
      </c>
      <c r="D188" s="62">
        <f>D189+D190+D202</f>
        <v>43.26</v>
      </c>
      <c r="E188" s="62">
        <f>E189+E190+E202</f>
        <v>203.4</v>
      </c>
      <c r="F188" s="62">
        <f>F189+F190+F202</f>
        <v>25.43</v>
      </c>
      <c r="G188" s="62">
        <f>G189+G190+G202</f>
        <v>79.98</v>
      </c>
      <c r="H188" s="64" t="s">
        <v>152</v>
      </c>
      <c r="I188" s="64" t="s">
        <v>153</v>
      </c>
      <c r="J188" s="64"/>
      <c r="K188" s="63"/>
    </row>
    <row r="189" spans="1:11" ht="15.75">
      <c r="A189" s="101" t="s">
        <v>58</v>
      </c>
      <c r="B189" s="92" t="s">
        <v>366</v>
      </c>
      <c r="C189" s="26">
        <f>D189+E189+F189+G189</f>
        <v>22.07</v>
      </c>
      <c r="D189" s="29">
        <v>14.46</v>
      </c>
      <c r="E189" s="29"/>
      <c r="F189" s="29">
        <v>0.73</v>
      </c>
      <c r="G189" s="29">
        <v>6.88</v>
      </c>
      <c r="H189" s="24"/>
      <c r="I189" s="24" t="s">
        <v>371</v>
      </c>
      <c r="J189" s="102">
        <v>30.6</v>
      </c>
      <c r="K189" s="33"/>
    </row>
    <row r="190" spans="1:11" ht="19.5" customHeight="1">
      <c r="A190" s="101" t="s">
        <v>59</v>
      </c>
      <c r="B190" s="149" t="s">
        <v>326</v>
      </c>
      <c r="C190" s="119">
        <f>D190+E190+F190+G190</f>
        <v>163.3</v>
      </c>
      <c r="D190" s="28">
        <f>2+1+0.2+4</f>
        <v>7.2</v>
      </c>
      <c r="E190" s="28">
        <v>81.2</v>
      </c>
      <c r="F190" s="28">
        <f>5+4+1.5+2+1.2+1.6+1.9</f>
        <v>17.2</v>
      </c>
      <c r="G190" s="29">
        <v>57.7</v>
      </c>
      <c r="H190" s="24"/>
      <c r="I190" s="24"/>
      <c r="J190" s="43">
        <v>163.3</v>
      </c>
      <c r="K190" s="33"/>
    </row>
    <row r="191" spans="1:11" ht="15" customHeight="1" hidden="1">
      <c r="A191" s="101"/>
      <c r="B191" s="150" t="s">
        <v>391</v>
      </c>
      <c r="C191" s="119">
        <f aca="true" t="shared" si="7" ref="C191:C201">D191+E191+F191+G191</f>
        <v>0</v>
      </c>
      <c r="D191" s="28"/>
      <c r="E191" s="28"/>
      <c r="F191" s="28"/>
      <c r="G191" s="29"/>
      <c r="H191" s="24"/>
      <c r="I191" s="24"/>
      <c r="J191" s="43"/>
      <c r="K191" s="33"/>
    </row>
    <row r="192" spans="1:11" ht="15.75" hidden="1">
      <c r="A192" s="101" t="s">
        <v>60</v>
      </c>
      <c r="B192" s="92" t="s">
        <v>368</v>
      </c>
      <c r="C192" s="119">
        <f t="shared" si="7"/>
        <v>15.9</v>
      </c>
      <c r="D192" s="28">
        <v>0.8</v>
      </c>
      <c r="E192" s="28">
        <v>15.1</v>
      </c>
      <c r="F192" s="28"/>
      <c r="G192" s="29"/>
      <c r="H192" s="24" t="s">
        <v>148</v>
      </c>
      <c r="I192" s="24"/>
      <c r="J192" s="43">
        <v>15.9</v>
      </c>
      <c r="K192" s="33"/>
    </row>
    <row r="193" spans="1:11" ht="15.75" hidden="1">
      <c r="A193" s="101" t="s">
        <v>61</v>
      </c>
      <c r="B193" s="92" t="s">
        <v>113</v>
      </c>
      <c r="C193" s="119">
        <f t="shared" si="7"/>
        <v>24.8</v>
      </c>
      <c r="D193" s="28">
        <f>1.5</f>
        <v>1.5</v>
      </c>
      <c r="E193" s="28">
        <f>24.8-1.5-0.8</f>
        <v>22.5</v>
      </c>
      <c r="F193" s="28">
        <v>0.8</v>
      </c>
      <c r="G193" s="29"/>
      <c r="H193" s="24"/>
      <c r="I193" s="24" t="s">
        <v>367</v>
      </c>
      <c r="J193" s="43">
        <v>24.8</v>
      </c>
      <c r="K193" s="33"/>
    </row>
    <row r="194" spans="1:11" ht="15.75" hidden="1">
      <c r="A194" s="101" t="s">
        <v>62</v>
      </c>
      <c r="B194" s="92" t="s">
        <v>114</v>
      </c>
      <c r="C194" s="119">
        <f t="shared" si="7"/>
        <v>34</v>
      </c>
      <c r="D194" s="28"/>
      <c r="E194" s="28">
        <v>23</v>
      </c>
      <c r="F194" s="28">
        <v>3.5</v>
      </c>
      <c r="G194" s="29">
        <v>7.5</v>
      </c>
      <c r="H194" s="24"/>
      <c r="I194" s="24"/>
      <c r="J194" s="43">
        <v>34</v>
      </c>
      <c r="K194" s="33"/>
    </row>
    <row r="195" spans="1:11" ht="15.75" hidden="1">
      <c r="A195" s="101" t="s">
        <v>63</v>
      </c>
      <c r="B195" s="92" t="s">
        <v>115</v>
      </c>
      <c r="C195" s="119">
        <f t="shared" si="7"/>
        <v>7.1</v>
      </c>
      <c r="D195" s="28">
        <f>2.6+1.5</f>
        <v>4.1</v>
      </c>
      <c r="E195" s="28"/>
      <c r="F195" s="28"/>
      <c r="G195" s="29">
        <v>3</v>
      </c>
      <c r="H195" s="24"/>
      <c r="I195" s="24"/>
      <c r="J195" s="43">
        <v>7.1</v>
      </c>
      <c r="K195" s="33"/>
    </row>
    <row r="196" spans="1:11" ht="15.75" hidden="1">
      <c r="A196" s="101" t="s">
        <v>64</v>
      </c>
      <c r="B196" s="92" t="s">
        <v>116</v>
      </c>
      <c r="C196" s="119">
        <f t="shared" si="7"/>
        <v>16.7</v>
      </c>
      <c r="D196" s="28">
        <v>2.5</v>
      </c>
      <c r="E196" s="28">
        <v>11.8</v>
      </c>
      <c r="F196" s="28"/>
      <c r="G196" s="29">
        <v>2.4</v>
      </c>
      <c r="H196" s="24" t="s">
        <v>151</v>
      </c>
      <c r="I196" s="24"/>
      <c r="J196" s="43">
        <v>16.7</v>
      </c>
      <c r="K196" s="33"/>
    </row>
    <row r="197" spans="1:11" ht="15.75" hidden="1">
      <c r="A197" s="101" t="s">
        <v>65</v>
      </c>
      <c r="B197" s="92" t="s">
        <v>117</v>
      </c>
      <c r="C197" s="119">
        <f t="shared" si="7"/>
        <v>39.3</v>
      </c>
      <c r="D197" s="28">
        <v>4.4</v>
      </c>
      <c r="E197" s="28">
        <v>29.4</v>
      </c>
      <c r="F197" s="28">
        <v>0.5</v>
      </c>
      <c r="G197" s="29">
        <v>5</v>
      </c>
      <c r="H197" s="24"/>
      <c r="I197" s="24"/>
      <c r="J197" s="43">
        <v>39.3</v>
      </c>
      <c r="K197" s="33"/>
    </row>
    <row r="198" spans="1:11" ht="15.75" hidden="1">
      <c r="A198" s="101" t="s">
        <v>66</v>
      </c>
      <c r="B198" s="92" t="s">
        <v>118</v>
      </c>
      <c r="C198" s="119">
        <f t="shared" si="7"/>
        <v>5.5</v>
      </c>
      <c r="D198" s="28"/>
      <c r="E198" s="28">
        <v>4.2</v>
      </c>
      <c r="F198" s="28">
        <v>1.3</v>
      </c>
      <c r="G198" s="29"/>
      <c r="H198" s="24"/>
      <c r="I198" s="24" t="s">
        <v>373</v>
      </c>
      <c r="J198" s="43">
        <v>5.5</v>
      </c>
      <c r="K198" s="33"/>
    </row>
    <row r="199" spans="1:11" ht="25.5" hidden="1">
      <c r="A199" s="101" t="s">
        <v>67</v>
      </c>
      <c r="B199" s="92" t="s">
        <v>119</v>
      </c>
      <c r="C199" s="119">
        <f t="shared" si="7"/>
        <v>19</v>
      </c>
      <c r="D199" s="28">
        <v>6.5</v>
      </c>
      <c r="E199" s="28">
        <v>12.5</v>
      </c>
      <c r="F199" s="28"/>
      <c r="G199" s="29"/>
      <c r="H199" s="24" t="s">
        <v>150</v>
      </c>
      <c r="I199" s="24" t="s">
        <v>372</v>
      </c>
      <c r="J199" s="43">
        <v>19</v>
      </c>
      <c r="K199" s="33"/>
    </row>
    <row r="200" spans="1:11" ht="25.5" hidden="1">
      <c r="A200" s="101" t="s">
        <v>68</v>
      </c>
      <c r="B200" s="92" t="s">
        <v>364</v>
      </c>
      <c r="C200" s="119">
        <f t="shared" si="7"/>
        <v>12.1</v>
      </c>
      <c r="D200" s="28">
        <v>0.8</v>
      </c>
      <c r="E200" s="28">
        <v>6.4</v>
      </c>
      <c r="F200" s="28">
        <v>1.4</v>
      </c>
      <c r="G200" s="29">
        <v>3.5</v>
      </c>
      <c r="H200" s="24"/>
      <c r="I200" s="24"/>
      <c r="J200" s="43">
        <v>12.1</v>
      </c>
      <c r="K200" s="33"/>
    </row>
    <row r="201" spans="1:11" ht="25.5" hidden="1">
      <c r="A201" s="101" t="s">
        <v>69</v>
      </c>
      <c r="B201" s="92" t="s">
        <v>365</v>
      </c>
      <c r="C201" s="119">
        <f t="shared" si="7"/>
        <v>6.3</v>
      </c>
      <c r="D201" s="28">
        <v>1</v>
      </c>
      <c r="E201" s="28">
        <v>5.3</v>
      </c>
      <c r="F201" s="28"/>
      <c r="G201" s="29"/>
      <c r="H201" s="24"/>
      <c r="I201" s="24"/>
      <c r="J201" s="43">
        <v>6.3</v>
      </c>
      <c r="K201" s="33"/>
    </row>
    <row r="202" spans="1:11" ht="15.75">
      <c r="A202" s="103"/>
      <c r="B202" s="149" t="s">
        <v>327</v>
      </c>
      <c r="C202" s="119">
        <v>166.7</v>
      </c>
      <c r="D202" s="28">
        <f>SUM(D192:D201)</f>
        <v>21.599999999999998</v>
      </c>
      <c r="E202" s="28">
        <v>122.2</v>
      </c>
      <c r="F202" s="28">
        <f>SUM(F192:F201)</f>
        <v>7.5</v>
      </c>
      <c r="G202" s="28">
        <v>15.4</v>
      </c>
      <c r="H202" s="24" t="s">
        <v>152</v>
      </c>
      <c r="I202" s="24" t="s">
        <v>10</v>
      </c>
      <c r="J202" s="43">
        <f>SUM(J189:J201)</f>
        <v>374.6000000000001</v>
      </c>
      <c r="K202" s="33"/>
    </row>
    <row r="203" spans="1:11" ht="15.75">
      <c r="A203" s="129">
        <v>21</v>
      </c>
      <c r="B203" s="123" t="s">
        <v>565</v>
      </c>
      <c r="C203" s="62">
        <f>D203+E203+F203+G203</f>
        <v>213</v>
      </c>
      <c r="D203" s="62">
        <f>D204</f>
        <v>0</v>
      </c>
      <c r="E203" s="62">
        <f>E204</f>
        <v>179</v>
      </c>
      <c r="F203" s="62">
        <f>F204</f>
        <v>34</v>
      </c>
      <c r="G203" s="124"/>
      <c r="H203" s="64" t="s">
        <v>374</v>
      </c>
      <c r="I203" s="64" t="s">
        <v>95</v>
      </c>
      <c r="J203" s="64"/>
      <c r="K203" s="63"/>
    </row>
    <row r="204" spans="1:11" ht="21" customHeight="1">
      <c r="A204" s="101" t="s">
        <v>70</v>
      </c>
      <c r="B204" s="145" t="s">
        <v>326</v>
      </c>
      <c r="C204" s="119">
        <f>D204+E204+F204+G204</f>
        <v>213</v>
      </c>
      <c r="D204" s="28"/>
      <c r="E204" s="28">
        <v>179</v>
      </c>
      <c r="F204" s="28">
        <v>34</v>
      </c>
      <c r="G204" s="29"/>
      <c r="H204" s="24" t="s">
        <v>374</v>
      </c>
      <c r="I204" s="24" t="s">
        <v>95</v>
      </c>
      <c r="J204" s="43"/>
      <c r="K204" s="33"/>
    </row>
    <row r="205" spans="1:11" ht="15" customHeight="1" hidden="1">
      <c r="A205" s="101"/>
      <c r="B205" s="70" t="s">
        <v>391</v>
      </c>
      <c r="C205" s="119">
        <f aca="true" t="shared" si="8" ref="C205:C212">D205+E205+F205+G205</f>
        <v>0</v>
      </c>
      <c r="D205" s="28"/>
      <c r="E205" s="28"/>
      <c r="F205" s="28"/>
      <c r="G205" s="29"/>
      <c r="H205" s="24"/>
      <c r="I205" s="24"/>
      <c r="J205" s="43"/>
      <c r="K205" s="33"/>
    </row>
    <row r="206" spans="1:11" ht="17.25" customHeight="1" hidden="1">
      <c r="A206" s="101" t="s">
        <v>71</v>
      </c>
      <c r="B206" s="146" t="s">
        <v>205</v>
      </c>
      <c r="C206" s="119">
        <f t="shared" si="8"/>
        <v>0</v>
      </c>
      <c r="D206" s="28"/>
      <c r="E206" s="28"/>
      <c r="F206" s="28"/>
      <c r="G206" s="29"/>
      <c r="H206" s="24"/>
      <c r="I206" s="24"/>
      <c r="J206" s="43"/>
      <c r="K206" s="33"/>
    </row>
    <row r="207" spans="1:11" ht="29.25" customHeight="1" hidden="1">
      <c r="A207" s="101" t="s">
        <v>72</v>
      </c>
      <c r="B207" s="24" t="s">
        <v>206</v>
      </c>
      <c r="C207" s="119">
        <f t="shared" si="8"/>
        <v>0</v>
      </c>
      <c r="D207" s="28"/>
      <c r="E207" s="28"/>
      <c r="F207" s="28"/>
      <c r="G207" s="29"/>
      <c r="H207" s="24"/>
      <c r="I207" s="24"/>
      <c r="J207" s="43"/>
      <c r="K207" s="33"/>
    </row>
    <row r="208" spans="1:11" ht="17.25" customHeight="1" hidden="1">
      <c r="A208" s="101" t="s">
        <v>73</v>
      </c>
      <c r="B208" s="146" t="s">
        <v>207</v>
      </c>
      <c r="C208" s="119">
        <f t="shared" si="8"/>
        <v>0</v>
      </c>
      <c r="D208" s="28"/>
      <c r="E208" s="28"/>
      <c r="F208" s="28"/>
      <c r="G208" s="29"/>
      <c r="H208" s="24"/>
      <c r="I208" s="24"/>
      <c r="J208" s="43"/>
      <c r="K208" s="33"/>
    </row>
    <row r="209" spans="1:11" ht="17.25" customHeight="1" hidden="1">
      <c r="A209" s="101" t="s">
        <v>74</v>
      </c>
      <c r="B209" s="146" t="s">
        <v>208</v>
      </c>
      <c r="C209" s="119">
        <f t="shared" si="8"/>
        <v>0</v>
      </c>
      <c r="D209" s="28"/>
      <c r="E209" s="28"/>
      <c r="F209" s="28"/>
      <c r="G209" s="29"/>
      <c r="H209" s="24"/>
      <c r="I209" s="24"/>
      <c r="J209" s="43"/>
      <c r="K209" s="33"/>
    </row>
    <row r="210" spans="1:11" ht="17.25" customHeight="1" hidden="1">
      <c r="A210" s="101" t="s">
        <v>75</v>
      </c>
      <c r="B210" s="146" t="s">
        <v>209</v>
      </c>
      <c r="C210" s="119">
        <f t="shared" si="8"/>
        <v>0</v>
      </c>
      <c r="D210" s="28"/>
      <c r="E210" s="28"/>
      <c r="F210" s="28"/>
      <c r="G210" s="29"/>
      <c r="H210" s="24"/>
      <c r="I210" s="24"/>
      <c r="J210" s="43"/>
      <c r="K210" s="33"/>
    </row>
    <row r="211" spans="1:11" ht="17.25" customHeight="1" hidden="1">
      <c r="A211" s="101" t="s">
        <v>76</v>
      </c>
      <c r="B211" s="146" t="s">
        <v>210</v>
      </c>
      <c r="C211" s="119">
        <f t="shared" si="8"/>
        <v>0</v>
      </c>
      <c r="D211" s="28"/>
      <c r="E211" s="28"/>
      <c r="F211" s="28"/>
      <c r="G211" s="29"/>
      <c r="H211" s="24"/>
      <c r="I211" s="24"/>
      <c r="J211" s="43"/>
      <c r="K211" s="33"/>
    </row>
    <row r="212" spans="1:11" ht="17.25" customHeight="1" hidden="1">
      <c r="A212" s="101" t="s">
        <v>77</v>
      </c>
      <c r="B212" s="146" t="s">
        <v>211</v>
      </c>
      <c r="C212" s="119">
        <f t="shared" si="8"/>
        <v>0</v>
      </c>
      <c r="D212" s="28"/>
      <c r="E212" s="28"/>
      <c r="F212" s="28"/>
      <c r="G212" s="29"/>
      <c r="H212" s="24"/>
      <c r="I212" s="24"/>
      <c r="J212" s="43"/>
      <c r="K212" s="33"/>
    </row>
    <row r="213" spans="1:11" ht="17.25" customHeight="1">
      <c r="A213" s="103"/>
      <c r="B213" s="145" t="s">
        <v>327</v>
      </c>
      <c r="C213" s="119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43"/>
      <c r="K213" s="33"/>
    </row>
    <row r="214" spans="1:11" ht="15.75">
      <c r="A214" s="129">
        <v>22</v>
      </c>
      <c r="B214" s="123" t="s">
        <v>566</v>
      </c>
      <c r="C214" s="62">
        <f>D214+E214+F214+G214</f>
        <v>376.7</v>
      </c>
      <c r="D214" s="62">
        <f>D215+D232</f>
        <v>44.17</v>
      </c>
      <c r="E214" s="62">
        <v>245.32</v>
      </c>
      <c r="F214" s="62">
        <f>F215+F232</f>
        <v>7.34</v>
      </c>
      <c r="G214" s="62">
        <f>G215+G232</f>
        <v>79.86999999999999</v>
      </c>
      <c r="H214" s="64" t="s">
        <v>467</v>
      </c>
      <c r="I214" s="64" t="s">
        <v>468</v>
      </c>
      <c r="J214" s="132"/>
      <c r="K214" s="126"/>
    </row>
    <row r="215" spans="1:11" ht="18" customHeight="1">
      <c r="A215" s="101" t="s">
        <v>78</v>
      </c>
      <c r="B215" s="145" t="s">
        <v>326</v>
      </c>
      <c r="C215" s="119" t="s">
        <v>571</v>
      </c>
      <c r="D215" s="28">
        <v>6.85</v>
      </c>
      <c r="E215" s="28">
        <f>4.5+4+4.5+3.5+3.5+1.2+1+4.5+2+1+1+11+1+4.2+7+4.5+0.5+5+3+7.5+1.5+2.2+2+1.5+5+2+13.5+2+1.5+6+4+2+5+2.5+2.5+1+1</f>
        <v>129.60000000000002</v>
      </c>
      <c r="F215" s="28">
        <f>3</f>
        <v>3</v>
      </c>
      <c r="G215" s="28">
        <f>3+1+2+1+10+3.5+1+2+1.5+2+2+2.5+1+1.5+4.8+3</f>
        <v>41.8</v>
      </c>
      <c r="H215" s="24"/>
      <c r="I215" s="24"/>
      <c r="J215" s="43">
        <v>176.9</v>
      </c>
      <c r="K215" s="33"/>
    </row>
    <row r="216" spans="1:11" ht="17.25" customHeight="1" hidden="1">
      <c r="A216" s="101"/>
      <c r="B216" s="70" t="s">
        <v>391</v>
      </c>
      <c r="C216" s="119"/>
      <c r="D216" s="28"/>
      <c r="E216" s="28"/>
      <c r="F216" s="28"/>
      <c r="G216" s="28"/>
      <c r="H216" s="24"/>
      <c r="I216" s="24"/>
      <c r="J216" s="43"/>
      <c r="K216" s="33"/>
    </row>
    <row r="217" spans="1:11" ht="15.75" hidden="1">
      <c r="A217" s="101" t="s">
        <v>79</v>
      </c>
      <c r="B217" s="146" t="s">
        <v>485</v>
      </c>
      <c r="C217" s="119">
        <f>D217+E217+F217+G217</f>
        <v>25.130000000000003</v>
      </c>
      <c r="D217" s="28">
        <v>12.07</v>
      </c>
      <c r="E217" s="28">
        <v>3.1</v>
      </c>
      <c r="F217" s="28">
        <v>1.34</v>
      </c>
      <c r="G217" s="28">
        <v>8.62</v>
      </c>
      <c r="H217" s="24" t="s">
        <v>325</v>
      </c>
      <c r="I217" s="24"/>
      <c r="J217" s="43"/>
      <c r="K217" s="33"/>
    </row>
    <row r="218" spans="1:11" ht="15.75" hidden="1">
      <c r="A218" s="101" t="s">
        <v>80</v>
      </c>
      <c r="B218" s="146" t="s">
        <v>175</v>
      </c>
      <c r="C218" s="119">
        <f aca="true" t="shared" si="9" ref="C218:C231">D218+E218+F218+G218</f>
        <v>23.2</v>
      </c>
      <c r="D218" s="28">
        <v>4</v>
      </c>
      <c r="E218" s="28">
        <v>17.8</v>
      </c>
      <c r="F218" s="28">
        <v>1.4</v>
      </c>
      <c r="G218" s="28"/>
      <c r="H218" s="24"/>
      <c r="I218" s="24"/>
      <c r="J218" s="43"/>
      <c r="K218" s="33"/>
    </row>
    <row r="219" spans="1:11" ht="15.75" hidden="1">
      <c r="A219" s="101" t="s">
        <v>81</v>
      </c>
      <c r="B219" s="146" t="s">
        <v>176</v>
      </c>
      <c r="C219" s="119">
        <f t="shared" si="9"/>
        <v>12</v>
      </c>
      <c r="D219" s="28">
        <v>3.5</v>
      </c>
      <c r="E219" s="28">
        <v>6.5</v>
      </c>
      <c r="F219" s="28"/>
      <c r="G219" s="28">
        <v>2</v>
      </c>
      <c r="H219" s="24"/>
      <c r="I219" s="24"/>
      <c r="J219" s="43"/>
      <c r="K219" s="33"/>
    </row>
    <row r="220" spans="1:11" ht="15.75" hidden="1">
      <c r="A220" s="101" t="s">
        <v>82</v>
      </c>
      <c r="B220" s="146" t="s">
        <v>177</v>
      </c>
      <c r="C220" s="119">
        <f t="shared" si="9"/>
        <v>9.1</v>
      </c>
      <c r="D220" s="28">
        <v>3</v>
      </c>
      <c r="E220" s="28">
        <v>6.1</v>
      </c>
      <c r="F220" s="28"/>
      <c r="G220" s="28"/>
      <c r="H220" s="24"/>
      <c r="I220" s="24"/>
      <c r="J220" s="43"/>
      <c r="K220" s="33"/>
    </row>
    <row r="221" spans="1:11" ht="15.75" hidden="1">
      <c r="A221" s="101" t="s">
        <v>83</v>
      </c>
      <c r="B221" s="146" t="s">
        <v>178</v>
      </c>
      <c r="C221" s="119">
        <f t="shared" si="9"/>
        <v>5</v>
      </c>
      <c r="D221" s="28">
        <v>1.5</v>
      </c>
      <c r="E221" s="28"/>
      <c r="F221" s="28"/>
      <c r="G221" s="28">
        <v>3.5</v>
      </c>
      <c r="H221" s="24"/>
      <c r="I221" s="24" t="s">
        <v>362</v>
      </c>
      <c r="J221" s="43"/>
      <c r="K221" s="33"/>
    </row>
    <row r="222" spans="1:11" ht="15.75" hidden="1">
      <c r="A222" s="101" t="s">
        <v>84</v>
      </c>
      <c r="B222" s="146" t="s">
        <v>179</v>
      </c>
      <c r="C222" s="119">
        <f t="shared" si="9"/>
        <v>3.5</v>
      </c>
      <c r="D222" s="28"/>
      <c r="E222" s="28"/>
      <c r="F222" s="28"/>
      <c r="G222" s="28">
        <v>3.5</v>
      </c>
      <c r="H222" s="24"/>
      <c r="I222" s="24"/>
      <c r="J222" s="43"/>
      <c r="K222" s="33"/>
    </row>
    <row r="223" spans="1:11" ht="15.75" hidden="1">
      <c r="A223" s="101" t="s">
        <v>282</v>
      </c>
      <c r="B223" s="146" t="s">
        <v>180</v>
      </c>
      <c r="C223" s="119">
        <f t="shared" si="9"/>
        <v>13.499999999999998</v>
      </c>
      <c r="D223" s="28">
        <v>2.05</v>
      </c>
      <c r="E223" s="28">
        <v>7.6</v>
      </c>
      <c r="F223" s="28"/>
      <c r="G223" s="28">
        <v>3.85</v>
      </c>
      <c r="H223" s="24"/>
      <c r="I223" s="24"/>
      <c r="J223" s="43"/>
      <c r="K223" s="33"/>
    </row>
    <row r="224" spans="1:11" ht="15.75" hidden="1">
      <c r="A224" s="101" t="s">
        <v>283</v>
      </c>
      <c r="B224" s="146" t="s">
        <v>181</v>
      </c>
      <c r="C224" s="119">
        <f t="shared" si="9"/>
        <v>11.7</v>
      </c>
      <c r="D224" s="28">
        <v>0.6</v>
      </c>
      <c r="E224" s="28">
        <v>10.1</v>
      </c>
      <c r="F224" s="28"/>
      <c r="G224" s="28">
        <v>1</v>
      </c>
      <c r="H224" s="24"/>
      <c r="I224" s="24"/>
      <c r="J224" s="43"/>
      <c r="K224" s="33"/>
    </row>
    <row r="225" spans="1:11" ht="25.5" hidden="1">
      <c r="A225" s="101" t="s">
        <v>284</v>
      </c>
      <c r="B225" s="146" t="s">
        <v>182</v>
      </c>
      <c r="C225" s="119">
        <f t="shared" si="9"/>
        <v>9.200000000000001</v>
      </c>
      <c r="D225" s="28">
        <v>1</v>
      </c>
      <c r="E225" s="28">
        <v>7.4</v>
      </c>
      <c r="F225" s="28">
        <v>0.8</v>
      </c>
      <c r="G225" s="28"/>
      <c r="H225" s="24"/>
      <c r="I225" s="24"/>
      <c r="J225" s="43"/>
      <c r="K225" s="33"/>
    </row>
    <row r="226" spans="1:11" ht="25.5" hidden="1">
      <c r="A226" s="101" t="s">
        <v>285</v>
      </c>
      <c r="B226" s="146" t="s">
        <v>183</v>
      </c>
      <c r="C226" s="119">
        <f t="shared" si="9"/>
        <v>12.799999999999999</v>
      </c>
      <c r="D226" s="28"/>
      <c r="E226" s="28">
        <v>9.7</v>
      </c>
      <c r="F226" s="28"/>
      <c r="G226" s="28">
        <v>3.1</v>
      </c>
      <c r="H226" s="24"/>
      <c r="I226" s="24" t="s">
        <v>491</v>
      </c>
      <c r="J226" s="43"/>
      <c r="K226" s="33"/>
    </row>
    <row r="227" spans="1:11" ht="25.5" hidden="1">
      <c r="A227" s="101" t="s">
        <v>286</v>
      </c>
      <c r="B227" s="147" t="s">
        <v>184</v>
      </c>
      <c r="C227" s="119">
        <f t="shared" si="9"/>
        <v>14.2</v>
      </c>
      <c r="D227" s="28">
        <v>3.7</v>
      </c>
      <c r="E227" s="28">
        <v>10.5</v>
      </c>
      <c r="F227" s="28"/>
      <c r="G227" s="28"/>
      <c r="H227" s="24"/>
      <c r="I227" s="24"/>
      <c r="J227" s="43"/>
      <c r="K227" s="33"/>
    </row>
    <row r="228" spans="1:11" ht="25.5" hidden="1">
      <c r="A228" s="101" t="s">
        <v>287</v>
      </c>
      <c r="B228" s="146" t="s">
        <v>185</v>
      </c>
      <c r="C228" s="119">
        <f t="shared" si="9"/>
        <v>17.5</v>
      </c>
      <c r="D228" s="28"/>
      <c r="E228" s="28">
        <v>17.5</v>
      </c>
      <c r="F228" s="28"/>
      <c r="G228" s="28"/>
      <c r="H228" s="24"/>
      <c r="I228" s="24"/>
      <c r="J228" s="43"/>
      <c r="K228" s="33"/>
    </row>
    <row r="229" spans="1:11" ht="25.5" hidden="1">
      <c r="A229" s="101" t="s">
        <v>288</v>
      </c>
      <c r="B229" s="146" t="s">
        <v>186</v>
      </c>
      <c r="C229" s="119">
        <f t="shared" si="9"/>
        <v>13.45</v>
      </c>
      <c r="D229" s="28">
        <v>0.3</v>
      </c>
      <c r="E229" s="28">
        <v>8.45</v>
      </c>
      <c r="F229" s="28"/>
      <c r="G229" s="28">
        <v>4.7</v>
      </c>
      <c r="H229" s="24" t="s">
        <v>363</v>
      </c>
      <c r="I229" s="24"/>
      <c r="J229" s="43"/>
      <c r="K229" s="33"/>
    </row>
    <row r="230" spans="1:11" ht="25.5" hidden="1">
      <c r="A230" s="101" t="s">
        <v>289</v>
      </c>
      <c r="B230" s="146" t="s">
        <v>187</v>
      </c>
      <c r="C230" s="119">
        <f t="shared" si="9"/>
        <v>12</v>
      </c>
      <c r="D230" s="28">
        <v>4.2</v>
      </c>
      <c r="E230" s="28">
        <v>3.5</v>
      </c>
      <c r="F230" s="28">
        <v>0.8</v>
      </c>
      <c r="G230" s="28">
        <v>3.5</v>
      </c>
      <c r="H230" s="24"/>
      <c r="I230" s="24"/>
      <c r="J230" s="43"/>
      <c r="K230" s="33"/>
    </row>
    <row r="231" spans="1:11" ht="25.5" hidden="1">
      <c r="A231" s="101" t="s">
        <v>290</v>
      </c>
      <c r="B231" s="146" t="s">
        <v>188</v>
      </c>
      <c r="C231" s="119">
        <f t="shared" si="9"/>
        <v>11.899999999999999</v>
      </c>
      <c r="D231" s="28"/>
      <c r="E231" s="28">
        <v>7.6</v>
      </c>
      <c r="F231" s="28"/>
      <c r="G231" s="28">
        <v>4.3</v>
      </c>
      <c r="H231" s="24"/>
      <c r="I231" s="24"/>
      <c r="J231" s="43"/>
      <c r="K231" s="33"/>
    </row>
    <row r="232" spans="1:11" ht="15.75">
      <c r="A232" s="33"/>
      <c r="B232" s="145" t="s">
        <v>327</v>
      </c>
      <c r="C232" s="119">
        <v>195.6</v>
      </c>
      <c r="D232" s="26">
        <v>37.32</v>
      </c>
      <c r="E232" s="26">
        <v>115.72</v>
      </c>
      <c r="F232" s="26">
        <f>SUM(F217:F231)</f>
        <v>4.34</v>
      </c>
      <c r="G232" s="26">
        <f>SUM(G217:G231)</f>
        <v>38.06999999999999</v>
      </c>
      <c r="H232" s="43" t="s">
        <v>467</v>
      </c>
      <c r="I232" s="43" t="s">
        <v>468</v>
      </c>
      <c r="J232" s="43"/>
      <c r="K232" s="33"/>
    </row>
    <row r="233" spans="1:11" ht="31.5">
      <c r="A233" s="129">
        <v>23</v>
      </c>
      <c r="B233" s="123" t="s">
        <v>562</v>
      </c>
      <c r="C233" s="62">
        <f>D233+E233+F233+G233</f>
        <v>338.59</v>
      </c>
      <c r="D233" s="62">
        <f>D234+D252</f>
        <v>66.15</v>
      </c>
      <c r="E233" s="62">
        <f>E234+E252</f>
        <v>206.89</v>
      </c>
      <c r="F233" s="62">
        <f>F234+F252</f>
        <v>11.675</v>
      </c>
      <c r="G233" s="62">
        <f>G234+G252</f>
        <v>53.875</v>
      </c>
      <c r="H233" s="64" t="s">
        <v>469</v>
      </c>
      <c r="I233" s="64" t="s">
        <v>97</v>
      </c>
      <c r="J233" s="64"/>
      <c r="K233" s="63"/>
    </row>
    <row r="234" spans="1:11" ht="31.5">
      <c r="A234" s="101" t="s">
        <v>291</v>
      </c>
      <c r="B234" s="145" t="s">
        <v>326</v>
      </c>
      <c r="C234" s="26">
        <f>D234+E234+F234+G234</f>
        <v>134.9</v>
      </c>
      <c r="D234" s="29">
        <v>14.5</v>
      </c>
      <c r="E234" s="29">
        <v>90.4</v>
      </c>
      <c r="F234" s="29">
        <v>4</v>
      </c>
      <c r="G234" s="29">
        <v>26</v>
      </c>
      <c r="H234" s="24" t="s">
        <v>99</v>
      </c>
      <c r="I234" s="24" t="s">
        <v>98</v>
      </c>
      <c r="J234" s="43"/>
      <c r="K234" s="33"/>
    </row>
    <row r="235" spans="1:11" ht="15.75" hidden="1">
      <c r="A235" s="101"/>
      <c r="B235" s="70" t="s">
        <v>391</v>
      </c>
      <c r="C235" s="26"/>
      <c r="D235" s="29"/>
      <c r="E235" s="29"/>
      <c r="F235" s="29"/>
      <c r="G235" s="29"/>
      <c r="H235" s="24"/>
      <c r="I235" s="24"/>
      <c r="J235" s="43"/>
      <c r="K235" s="33"/>
    </row>
    <row r="236" spans="1:11" ht="15.75" hidden="1">
      <c r="A236" s="101" t="s">
        <v>292</v>
      </c>
      <c r="B236" s="146" t="s">
        <v>189</v>
      </c>
      <c r="C236" s="26">
        <f>D236+E236+F236+G236</f>
        <v>22.5</v>
      </c>
      <c r="D236" s="29">
        <v>7.75</v>
      </c>
      <c r="E236" s="29">
        <v>14.75</v>
      </c>
      <c r="F236" s="29"/>
      <c r="G236" s="29"/>
      <c r="H236" s="24" t="s">
        <v>100</v>
      </c>
      <c r="I236" s="24"/>
      <c r="J236" s="43"/>
      <c r="K236" s="33"/>
    </row>
    <row r="237" spans="1:11" ht="15.75" hidden="1">
      <c r="A237" s="101" t="s">
        <v>293</v>
      </c>
      <c r="B237" s="146" t="s">
        <v>190</v>
      </c>
      <c r="C237" s="26">
        <f aca="true" t="shared" si="10" ref="C237:C251">D237+E237+F237+G237</f>
        <v>4.7</v>
      </c>
      <c r="D237" s="29">
        <v>1.3</v>
      </c>
      <c r="E237" s="29">
        <v>3.4</v>
      </c>
      <c r="F237" s="29"/>
      <c r="G237" s="29"/>
      <c r="H237" s="24" t="s">
        <v>361</v>
      </c>
      <c r="I237" s="24"/>
      <c r="J237" s="43"/>
      <c r="K237" s="33"/>
    </row>
    <row r="238" spans="1:11" ht="15.75" hidden="1">
      <c r="A238" s="101" t="s">
        <v>294</v>
      </c>
      <c r="B238" s="146" t="s">
        <v>191</v>
      </c>
      <c r="C238" s="26">
        <f t="shared" si="10"/>
        <v>10.200000000000001</v>
      </c>
      <c r="D238" s="29">
        <v>4.7</v>
      </c>
      <c r="E238" s="29">
        <v>3.7</v>
      </c>
      <c r="F238" s="29">
        <v>1.8</v>
      </c>
      <c r="G238" s="29"/>
      <c r="H238" s="24" t="s">
        <v>361</v>
      </c>
      <c r="I238" s="24"/>
      <c r="J238" s="43"/>
      <c r="K238" s="33"/>
    </row>
    <row r="239" spans="1:11" ht="15.75" hidden="1">
      <c r="A239" s="101" t="s">
        <v>295</v>
      </c>
      <c r="B239" s="146" t="s">
        <v>192</v>
      </c>
      <c r="C239" s="26">
        <f t="shared" si="10"/>
        <v>9.9</v>
      </c>
      <c r="D239" s="29"/>
      <c r="E239" s="29">
        <v>9.9</v>
      </c>
      <c r="F239" s="29"/>
      <c r="G239" s="29"/>
      <c r="H239" s="24" t="s">
        <v>88</v>
      </c>
      <c r="I239" s="24"/>
      <c r="J239" s="43"/>
      <c r="K239" s="33"/>
    </row>
    <row r="240" spans="1:11" ht="15.75" hidden="1">
      <c r="A240" s="101" t="s">
        <v>296</v>
      </c>
      <c r="B240" s="146" t="s">
        <v>193</v>
      </c>
      <c r="C240" s="26">
        <f t="shared" si="10"/>
        <v>3</v>
      </c>
      <c r="D240" s="29"/>
      <c r="E240" s="29">
        <v>3</v>
      </c>
      <c r="F240" s="29"/>
      <c r="G240" s="29"/>
      <c r="H240" s="24" t="s">
        <v>361</v>
      </c>
      <c r="I240" s="24"/>
      <c r="J240" s="43"/>
      <c r="K240" s="33"/>
    </row>
    <row r="241" spans="1:11" ht="15.75" hidden="1">
      <c r="A241" s="101" t="s">
        <v>297</v>
      </c>
      <c r="B241" s="146" t="s">
        <v>194</v>
      </c>
      <c r="C241" s="26">
        <f t="shared" si="10"/>
        <v>18</v>
      </c>
      <c r="D241" s="29">
        <v>3.4</v>
      </c>
      <c r="E241" s="29">
        <v>6</v>
      </c>
      <c r="F241" s="29"/>
      <c r="G241" s="29">
        <v>8.6</v>
      </c>
      <c r="H241" s="24" t="s">
        <v>101</v>
      </c>
      <c r="I241" s="24" t="s">
        <v>102</v>
      </c>
      <c r="J241" s="43"/>
      <c r="K241" s="33"/>
    </row>
    <row r="242" spans="1:11" ht="15.75" hidden="1">
      <c r="A242" s="101" t="s">
        <v>298</v>
      </c>
      <c r="B242" s="146" t="s">
        <v>195</v>
      </c>
      <c r="C242" s="26">
        <f t="shared" si="10"/>
        <v>9.9</v>
      </c>
      <c r="D242" s="29">
        <v>5.75</v>
      </c>
      <c r="E242" s="29">
        <v>4.15</v>
      </c>
      <c r="F242" s="29"/>
      <c r="G242" s="29"/>
      <c r="H242" s="24" t="s">
        <v>103</v>
      </c>
      <c r="I242" s="24"/>
      <c r="J242" s="43"/>
      <c r="K242" s="33"/>
    </row>
    <row r="243" spans="1:11" ht="15.75" hidden="1">
      <c r="A243" s="101" t="s">
        <v>299</v>
      </c>
      <c r="B243" s="146" t="s">
        <v>196</v>
      </c>
      <c r="C243" s="26">
        <f t="shared" si="10"/>
        <v>14.3</v>
      </c>
      <c r="D243" s="29">
        <v>2.5</v>
      </c>
      <c r="E243" s="29">
        <v>10.3</v>
      </c>
      <c r="F243" s="29"/>
      <c r="G243" s="29">
        <v>1.5</v>
      </c>
      <c r="H243" s="24" t="s">
        <v>103</v>
      </c>
      <c r="I243" s="24"/>
      <c r="J243" s="43"/>
      <c r="K243" s="33"/>
    </row>
    <row r="244" spans="1:11" ht="25.5" hidden="1">
      <c r="A244" s="101" t="s">
        <v>300</v>
      </c>
      <c r="B244" s="146" t="s">
        <v>197</v>
      </c>
      <c r="C244" s="26">
        <f t="shared" si="10"/>
        <v>10</v>
      </c>
      <c r="D244" s="29"/>
      <c r="E244" s="29">
        <v>10</v>
      </c>
      <c r="F244" s="29"/>
      <c r="G244" s="29"/>
      <c r="H244" s="24" t="s">
        <v>104</v>
      </c>
      <c r="I244" s="24"/>
      <c r="J244" s="43"/>
      <c r="K244" s="33"/>
    </row>
    <row r="245" spans="1:11" ht="25.5" hidden="1">
      <c r="A245" s="101" t="s">
        <v>301</v>
      </c>
      <c r="B245" s="146" t="s">
        <v>198</v>
      </c>
      <c r="C245" s="26">
        <f t="shared" si="10"/>
        <v>14.75</v>
      </c>
      <c r="D245" s="29">
        <v>2.3</v>
      </c>
      <c r="E245" s="29">
        <v>11.5</v>
      </c>
      <c r="F245" s="29">
        <v>0.575</v>
      </c>
      <c r="G245" s="29">
        <v>0.375</v>
      </c>
      <c r="H245" s="24" t="s">
        <v>105</v>
      </c>
      <c r="I245" s="24"/>
      <c r="J245" s="43"/>
      <c r="K245" s="33"/>
    </row>
    <row r="246" spans="1:11" ht="25.5" hidden="1">
      <c r="A246" s="101" t="s">
        <v>302</v>
      </c>
      <c r="B246" s="146" t="s">
        <v>199</v>
      </c>
      <c r="C246" s="26">
        <f t="shared" si="10"/>
        <v>11.600000000000001</v>
      </c>
      <c r="D246" s="29">
        <v>2.2</v>
      </c>
      <c r="E246" s="29">
        <v>9.4</v>
      </c>
      <c r="F246" s="29"/>
      <c r="G246" s="29"/>
      <c r="H246" s="24" t="s">
        <v>103</v>
      </c>
      <c r="I246" s="24" t="s">
        <v>106</v>
      </c>
      <c r="J246" s="43"/>
      <c r="K246" s="33"/>
    </row>
    <row r="247" spans="1:11" ht="25.5" hidden="1">
      <c r="A247" s="101" t="s">
        <v>303</v>
      </c>
      <c r="B247" s="146" t="s">
        <v>200</v>
      </c>
      <c r="C247" s="26">
        <f t="shared" si="10"/>
        <v>7.5</v>
      </c>
      <c r="D247" s="29">
        <v>1</v>
      </c>
      <c r="E247" s="29">
        <v>4</v>
      </c>
      <c r="F247" s="29"/>
      <c r="G247" s="29">
        <v>2.5</v>
      </c>
      <c r="H247" s="24"/>
      <c r="I247" s="24" t="s">
        <v>107</v>
      </c>
      <c r="J247" s="43"/>
      <c r="K247" s="33"/>
    </row>
    <row r="248" spans="1:11" ht="25.5" hidden="1">
      <c r="A248" s="101" t="s">
        <v>304</v>
      </c>
      <c r="B248" s="146" t="s">
        <v>201</v>
      </c>
      <c r="C248" s="26">
        <f t="shared" si="10"/>
        <v>17.8</v>
      </c>
      <c r="D248" s="29">
        <v>1.8</v>
      </c>
      <c r="E248" s="29">
        <v>9.8</v>
      </c>
      <c r="F248" s="29"/>
      <c r="G248" s="29">
        <v>6.2</v>
      </c>
      <c r="H248" s="24" t="s">
        <v>108</v>
      </c>
      <c r="I248" s="24"/>
      <c r="J248" s="43"/>
      <c r="K248" s="33"/>
    </row>
    <row r="249" spans="1:11" ht="25.5" hidden="1">
      <c r="A249" s="101" t="s">
        <v>305</v>
      </c>
      <c r="B249" s="146" t="s">
        <v>202</v>
      </c>
      <c r="C249" s="26">
        <f t="shared" si="10"/>
        <v>11.3</v>
      </c>
      <c r="D249" s="29"/>
      <c r="E249" s="29">
        <v>6.5</v>
      </c>
      <c r="F249" s="29">
        <v>4.8</v>
      </c>
      <c r="G249" s="29"/>
      <c r="H249" s="24" t="s">
        <v>361</v>
      </c>
      <c r="I249" s="24"/>
      <c r="J249" s="43"/>
      <c r="K249" s="33"/>
    </row>
    <row r="250" spans="1:11" ht="25.5" hidden="1">
      <c r="A250" s="101" t="s">
        <v>306</v>
      </c>
      <c r="B250" s="146" t="s">
        <v>203</v>
      </c>
      <c r="C250" s="26">
        <f t="shared" si="10"/>
        <v>12.95</v>
      </c>
      <c r="D250" s="29">
        <v>5.95</v>
      </c>
      <c r="E250" s="29">
        <v>7</v>
      </c>
      <c r="F250" s="29"/>
      <c r="G250" s="29"/>
      <c r="H250" s="24" t="s">
        <v>105</v>
      </c>
      <c r="I250" s="24" t="s">
        <v>492</v>
      </c>
      <c r="J250" s="43"/>
      <c r="K250" s="33"/>
    </row>
    <row r="251" spans="1:11" ht="15.75" customHeight="1" hidden="1">
      <c r="A251" s="101" t="s">
        <v>307</v>
      </c>
      <c r="B251" s="146" t="s">
        <v>204</v>
      </c>
      <c r="C251" s="26">
        <f t="shared" si="10"/>
        <v>25.15</v>
      </c>
      <c r="D251" s="28">
        <v>13</v>
      </c>
      <c r="E251" s="28">
        <v>2.95</v>
      </c>
      <c r="F251" s="28">
        <v>0.5</v>
      </c>
      <c r="G251" s="29">
        <v>8.7</v>
      </c>
      <c r="H251" s="24" t="s">
        <v>109</v>
      </c>
      <c r="I251" s="24"/>
      <c r="J251" s="43"/>
      <c r="K251" s="33"/>
    </row>
    <row r="252" spans="1:11" ht="15.75">
      <c r="A252" s="103"/>
      <c r="B252" s="145" t="s">
        <v>327</v>
      </c>
      <c r="C252" s="26">
        <v>203.7</v>
      </c>
      <c r="D252" s="26">
        <f>SUM(D236:D251)</f>
        <v>51.65</v>
      </c>
      <c r="E252" s="26">
        <v>116.49</v>
      </c>
      <c r="F252" s="26">
        <f>SUM(F236:F251)</f>
        <v>7.675</v>
      </c>
      <c r="G252" s="26">
        <f>SUM(G236:G251)</f>
        <v>27.875</v>
      </c>
      <c r="H252" s="43" t="s">
        <v>281</v>
      </c>
      <c r="I252" s="43" t="s">
        <v>96</v>
      </c>
      <c r="J252" s="43">
        <f>SUM(J234:J251)</f>
        <v>0</v>
      </c>
      <c r="K252" s="33"/>
    </row>
    <row r="253" spans="1:11" ht="15.75">
      <c r="A253" s="129">
        <v>24</v>
      </c>
      <c r="B253" s="123" t="s">
        <v>12</v>
      </c>
      <c r="C253" s="62">
        <f>D253+E253+F253+G253</f>
        <v>240.5</v>
      </c>
      <c r="D253" s="62">
        <f>D254+D270</f>
        <v>8.899999999999999</v>
      </c>
      <c r="E253" s="62">
        <f>E254+E270</f>
        <v>163.2</v>
      </c>
      <c r="F253" s="62">
        <f>F254+F270</f>
        <v>17</v>
      </c>
      <c r="G253" s="62">
        <f>G254+G270</f>
        <v>51.39999999999999</v>
      </c>
      <c r="H253" s="65"/>
      <c r="I253" s="65"/>
      <c r="J253" s="133"/>
      <c r="K253" s="63"/>
    </row>
    <row r="254" spans="1:11" ht="31.5">
      <c r="A254" s="101" t="s">
        <v>308</v>
      </c>
      <c r="B254" s="145" t="s">
        <v>326</v>
      </c>
      <c r="C254" s="26">
        <f aca="true" t="shared" si="11" ref="C254:C269">D254+E254+F254+G254</f>
        <v>49.199999999999996</v>
      </c>
      <c r="D254" s="29">
        <v>3.8</v>
      </c>
      <c r="E254" s="29">
        <v>35.9</v>
      </c>
      <c r="F254" s="29"/>
      <c r="G254" s="29">
        <v>9.5</v>
      </c>
      <c r="H254" s="24"/>
      <c r="I254" s="24"/>
      <c r="J254" s="43">
        <v>358.2</v>
      </c>
      <c r="K254" s="33"/>
    </row>
    <row r="255" spans="1:11" ht="15.75" hidden="1">
      <c r="A255" s="110" t="s">
        <v>309</v>
      </c>
      <c r="B255" s="24" t="s">
        <v>212</v>
      </c>
      <c r="C255" s="26">
        <f t="shared" si="11"/>
        <v>0</v>
      </c>
      <c r="D255" s="29"/>
      <c r="E255" s="29"/>
      <c r="F255" s="29"/>
      <c r="G255" s="29"/>
      <c r="H255" s="24"/>
      <c r="I255" s="24"/>
      <c r="J255" s="102"/>
      <c r="K255" s="33"/>
    </row>
    <row r="256" spans="1:11" ht="15.75" hidden="1">
      <c r="A256" s="110"/>
      <c r="B256" s="70" t="s">
        <v>391</v>
      </c>
      <c r="C256" s="26">
        <f t="shared" si="11"/>
        <v>0</v>
      </c>
      <c r="D256" s="29"/>
      <c r="E256" s="29"/>
      <c r="F256" s="29"/>
      <c r="G256" s="29"/>
      <c r="H256" s="24"/>
      <c r="I256" s="24"/>
      <c r="J256" s="43"/>
      <c r="K256" s="33"/>
    </row>
    <row r="257" spans="1:11" ht="15.75" hidden="1">
      <c r="A257" s="101" t="s">
        <v>310</v>
      </c>
      <c r="B257" s="146" t="s">
        <v>213</v>
      </c>
      <c r="C257" s="26">
        <f t="shared" si="11"/>
        <v>25.8</v>
      </c>
      <c r="D257" s="29"/>
      <c r="E257" s="29">
        <v>12.9</v>
      </c>
      <c r="F257" s="29"/>
      <c r="G257" s="29">
        <v>12.9</v>
      </c>
      <c r="H257" s="24"/>
      <c r="I257" s="24"/>
      <c r="J257" s="43"/>
      <c r="K257" s="33"/>
    </row>
    <row r="258" spans="1:11" ht="15.75" hidden="1">
      <c r="A258" s="110" t="s">
        <v>311</v>
      </c>
      <c r="B258" s="148" t="s">
        <v>214</v>
      </c>
      <c r="C258" s="26">
        <f t="shared" si="11"/>
        <v>4.4</v>
      </c>
      <c r="D258" s="29"/>
      <c r="E258" s="29">
        <v>3</v>
      </c>
      <c r="F258" s="29"/>
      <c r="G258" s="29">
        <v>1.4</v>
      </c>
      <c r="H258" s="24"/>
      <c r="I258" s="24"/>
      <c r="J258" s="43"/>
      <c r="K258" s="33"/>
    </row>
    <row r="259" spans="1:11" ht="15.75" hidden="1">
      <c r="A259" s="101" t="s">
        <v>312</v>
      </c>
      <c r="B259" s="146" t="s">
        <v>215</v>
      </c>
      <c r="C259" s="26">
        <f t="shared" si="11"/>
        <v>6.2</v>
      </c>
      <c r="D259" s="29">
        <v>0.7</v>
      </c>
      <c r="E259" s="29">
        <v>5.5</v>
      </c>
      <c r="F259" s="29"/>
      <c r="G259" s="29"/>
      <c r="H259" s="24"/>
      <c r="I259" s="24"/>
      <c r="J259" s="43"/>
      <c r="K259" s="33"/>
    </row>
    <row r="260" spans="1:11" ht="15.75" hidden="1">
      <c r="A260" s="110" t="s">
        <v>313</v>
      </c>
      <c r="B260" s="148" t="s">
        <v>480</v>
      </c>
      <c r="C260" s="26">
        <f t="shared" si="11"/>
        <v>25.1</v>
      </c>
      <c r="D260" s="29"/>
      <c r="E260" s="29">
        <v>11.4</v>
      </c>
      <c r="F260" s="29"/>
      <c r="G260" s="29">
        <v>13.7</v>
      </c>
      <c r="H260" s="24"/>
      <c r="I260" s="24"/>
      <c r="J260" s="43"/>
      <c r="K260" s="33"/>
    </row>
    <row r="261" spans="1:11" ht="15.75" hidden="1">
      <c r="A261" s="101" t="s">
        <v>314</v>
      </c>
      <c r="B261" s="146" t="s">
        <v>216</v>
      </c>
      <c r="C261" s="26">
        <f t="shared" si="11"/>
        <v>14.200000000000001</v>
      </c>
      <c r="D261" s="29">
        <v>3.4</v>
      </c>
      <c r="E261" s="29">
        <v>10.8</v>
      </c>
      <c r="F261" s="29"/>
      <c r="G261" s="29"/>
      <c r="H261" s="24"/>
      <c r="I261" s="24"/>
      <c r="J261" s="43"/>
      <c r="K261" s="33"/>
    </row>
    <row r="262" spans="1:11" ht="15.75" hidden="1">
      <c r="A262" s="110" t="s">
        <v>315</v>
      </c>
      <c r="B262" s="146" t="s">
        <v>217</v>
      </c>
      <c r="C262" s="26">
        <f t="shared" si="11"/>
        <v>8.2</v>
      </c>
      <c r="D262" s="29"/>
      <c r="E262" s="29">
        <v>8.2</v>
      </c>
      <c r="F262" s="29"/>
      <c r="G262" s="29"/>
      <c r="H262" s="24"/>
      <c r="I262" s="24"/>
      <c r="J262" s="43"/>
      <c r="K262" s="33"/>
    </row>
    <row r="263" spans="1:11" ht="15.75" hidden="1">
      <c r="A263" s="101" t="s">
        <v>316</v>
      </c>
      <c r="B263" s="148" t="s">
        <v>218</v>
      </c>
      <c r="C263" s="26">
        <f t="shared" si="11"/>
        <v>27.4</v>
      </c>
      <c r="D263" s="29"/>
      <c r="E263" s="29">
        <v>9.4</v>
      </c>
      <c r="F263" s="29">
        <v>17</v>
      </c>
      <c r="G263" s="29">
        <v>1</v>
      </c>
      <c r="H263" s="24"/>
      <c r="I263" s="24"/>
      <c r="J263" s="43"/>
      <c r="K263" s="33"/>
    </row>
    <row r="264" spans="1:11" ht="15.75" hidden="1">
      <c r="A264" s="110" t="s">
        <v>317</v>
      </c>
      <c r="B264" s="146" t="s">
        <v>219</v>
      </c>
      <c r="C264" s="26">
        <f t="shared" si="11"/>
        <v>12.3</v>
      </c>
      <c r="D264" s="29"/>
      <c r="E264" s="29">
        <v>8.4</v>
      </c>
      <c r="F264" s="29"/>
      <c r="G264" s="29">
        <v>3.9</v>
      </c>
      <c r="H264" s="24"/>
      <c r="I264" s="24"/>
      <c r="J264" s="43"/>
      <c r="K264" s="33"/>
    </row>
    <row r="265" spans="1:11" ht="25.5" hidden="1">
      <c r="A265" s="101" t="s">
        <v>318</v>
      </c>
      <c r="B265" s="146" t="s">
        <v>220</v>
      </c>
      <c r="C265" s="26">
        <f t="shared" si="11"/>
        <v>13.700000000000001</v>
      </c>
      <c r="D265" s="29"/>
      <c r="E265" s="29">
        <v>11.9</v>
      </c>
      <c r="F265" s="29"/>
      <c r="G265" s="29">
        <v>1.8</v>
      </c>
      <c r="H265" s="24"/>
      <c r="I265" s="24"/>
      <c r="J265" s="43"/>
      <c r="K265" s="33"/>
    </row>
    <row r="266" spans="1:11" ht="15.75" hidden="1">
      <c r="A266" s="110" t="s">
        <v>319</v>
      </c>
      <c r="B266" s="146" t="s">
        <v>221</v>
      </c>
      <c r="C266" s="26">
        <f t="shared" si="11"/>
        <v>17.8</v>
      </c>
      <c r="D266" s="29"/>
      <c r="E266" s="29">
        <v>17.8</v>
      </c>
      <c r="F266" s="29"/>
      <c r="G266" s="29"/>
      <c r="H266" s="24"/>
      <c r="I266" s="24"/>
      <c r="J266" s="43"/>
      <c r="K266" s="33"/>
    </row>
    <row r="267" spans="1:11" ht="25.5" hidden="1">
      <c r="A267" s="101" t="s">
        <v>320</v>
      </c>
      <c r="B267" s="146" t="s">
        <v>222</v>
      </c>
      <c r="C267" s="26">
        <f t="shared" si="11"/>
        <v>9.9</v>
      </c>
      <c r="D267" s="29"/>
      <c r="E267" s="29">
        <v>9.9</v>
      </c>
      <c r="F267" s="29"/>
      <c r="G267" s="29"/>
      <c r="H267" s="24"/>
      <c r="I267" s="24"/>
      <c r="J267" s="43"/>
      <c r="K267" s="33"/>
    </row>
    <row r="268" spans="1:11" ht="15.75" hidden="1">
      <c r="A268" s="110" t="s">
        <v>321</v>
      </c>
      <c r="B268" s="146" t="s">
        <v>223</v>
      </c>
      <c r="C268" s="26">
        <f t="shared" si="11"/>
        <v>15.600000000000001</v>
      </c>
      <c r="D268" s="29"/>
      <c r="E268" s="29">
        <v>9.8</v>
      </c>
      <c r="F268" s="29"/>
      <c r="G268" s="29">
        <v>5.8</v>
      </c>
      <c r="H268" s="24"/>
      <c r="I268" s="24"/>
      <c r="J268" s="43"/>
      <c r="K268" s="33"/>
    </row>
    <row r="269" spans="1:11" ht="25.5" hidden="1">
      <c r="A269" s="101" t="s">
        <v>322</v>
      </c>
      <c r="B269" s="146" t="s">
        <v>224</v>
      </c>
      <c r="C269" s="26">
        <f t="shared" si="11"/>
        <v>10.700000000000001</v>
      </c>
      <c r="D269" s="29">
        <v>1</v>
      </c>
      <c r="E269" s="29">
        <v>8.3</v>
      </c>
      <c r="F269" s="29"/>
      <c r="G269" s="29">
        <v>1.4</v>
      </c>
      <c r="H269" s="24"/>
      <c r="I269" s="24"/>
      <c r="J269" s="108"/>
      <c r="K269" s="33"/>
    </row>
    <row r="270" spans="1:11" ht="15.75">
      <c r="A270" s="111"/>
      <c r="B270" s="145" t="s">
        <v>327</v>
      </c>
      <c r="C270" s="26">
        <f>SUM(C257:C269)</f>
        <v>191.3</v>
      </c>
      <c r="D270" s="26">
        <f>SUM(D257:D269)</f>
        <v>5.1</v>
      </c>
      <c r="E270" s="26">
        <f>SUM(E257:E269)</f>
        <v>127.3</v>
      </c>
      <c r="F270" s="26">
        <f>SUM(F257:F269)</f>
        <v>17</v>
      </c>
      <c r="G270" s="26">
        <f>SUM(G257:G269)</f>
        <v>41.89999999999999</v>
      </c>
      <c r="H270" s="24"/>
      <c r="I270" s="24"/>
      <c r="J270" s="108"/>
      <c r="K270" s="33"/>
    </row>
    <row r="271" spans="1:11" ht="15.75">
      <c r="A271" s="129">
        <v>25</v>
      </c>
      <c r="B271" s="123" t="s">
        <v>596</v>
      </c>
      <c r="C271" s="62">
        <f>D271+E271+F271+G271</f>
        <v>343</v>
      </c>
      <c r="D271" s="62">
        <f>D272</f>
        <v>197</v>
      </c>
      <c r="E271" s="62">
        <f>E272</f>
        <v>58</v>
      </c>
      <c r="F271" s="62">
        <f>F272</f>
        <v>0</v>
      </c>
      <c r="G271" s="62">
        <f>G272</f>
        <v>88</v>
      </c>
      <c r="H271" s="62" t="str">
        <f>H272</f>
        <v>25/250</v>
      </c>
      <c r="I271" s="65"/>
      <c r="J271" s="64"/>
      <c r="K271" s="63"/>
    </row>
    <row r="272" spans="1:11" ht="20.25" customHeight="1">
      <c r="A272" s="103"/>
      <c r="B272" s="71" t="s">
        <v>225</v>
      </c>
      <c r="C272" s="119">
        <f>D272+E272+F272+G272</f>
        <v>343</v>
      </c>
      <c r="D272" s="29">
        <v>197</v>
      </c>
      <c r="E272" s="29">
        <v>58</v>
      </c>
      <c r="F272" s="29"/>
      <c r="G272" s="29">
        <v>88</v>
      </c>
      <c r="H272" s="24" t="s">
        <v>461</v>
      </c>
      <c r="I272" s="24"/>
      <c r="J272" s="108"/>
      <c r="K272" s="33"/>
    </row>
    <row r="273" spans="1:11" ht="15.75">
      <c r="A273" s="129">
        <v>26</v>
      </c>
      <c r="B273" s="123" t="s">
        <v>597</v>
      </c>
      <c r="C273" s="62">
        <f>D273+E273+F273+G273</f>
        <v>46.9</v>
      </c>
      <c r="D273" s="62">
        <v>46.9</v>
      </c>
      <c r="E273" s="62"/>
      <c r="F273" s="62"/>
      <c r="G273" s="62"/>
      <c r="H273" s="62"/>
      <c r="I273" s="65"/>
      <c r="J273" s="64"/>
      <c r="K273" s="63"/>
    </row>
    <row r="274" spans="1:11" ht="16.5">
      <c r="A274" s="113"/>
      <c r="B274" s="114" t="s">
        <v>370</v>
      </c>
      <c r="C274" s="67">
        <f>C273+C271+C253+C233+C214+C203+C188+C167+C150+C129+C110+C101+C86+C58+C54+C50+C45+C41+C37+C34+C30+C26+C19+C15+C11+C6</f>
        <v>9780.527999999998</v>
      </c>
      <c r="D274" s="67">
        <f>D273+D271+D253+D233+D214+D203+D188+D167+D150+D129+D110+D101+D86+D58+D54+D50+D45+D41+D37+D34+D30+D26+D19+D15+D11+D6</f>
        <v>1434.6199999999994</v>
      </c>
      <c r="E274" s="67">
        <f>E273+E271+E253+E233+E214+E203+E188+E167+E150+E129+E110+E101+E86+E58+E54+E50+E45+E41+E37+E34+E30+E26+E19+E15+E11+E6</f>
        <v>6129.598</v>
      </c>
      <c r="F274" s="67">
        <f>F273+F271+F253+F233+F214+F203+F188+F167+F150+F129+F110+F101+F86+F58+F54+F50+F45+F41+F37+F34+F30+F26+F19+F15+F11+F6</f>
        <v>362.915</v>
      </c>
      <c r="G274" s="67">
        <f>G273+G271+G253+G233+G214+G203+G188+G167+G150+G129+G110+G101+G86+G58+G54+G50+G45+G41+G37+G34+G30+G26+G19+G15+G11+G6</f>
        <v>1853.3949999999998</v>
      </c>
      <c r="H274" s="66" t="s">
        <v>593</v>
      </c>
      <c r="I274" s="66" t="s">
        <v>592</v>
      </c>
      <c r="J274" s="115"/>
      <c r="K274" s="74"/>
    </row>
  </sheetData>
  <mergeCells count="9">
    <mergeCell ref="B1:K1"/>
    <mergeCell ref="A4:A5"/>
    <mergeCell ref="B4:B5"/>
    <mergeCell ref="C4:C5"/>
    <mergeCell ref="D4:G4"/>
    <mergeCell ref="H4:H5"/>
    <mergeCell ref="I4:I5"/>
    <mergeCell ref="K4:K5"/>
    <mergeCell ref="A2:K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Semikina</dc:creator>
  <cp:keywords/>
  <dc:description/>
  <cp:lastModifiedBy>Rodinvi</cp:lastModifiedBy>
  <cp:lastPrinted>2008-08-19T06:43:40Z</cp:lastPrinted>
  <dcterms:created xsi:type="dcterms:W3CDTF">2007-05-22T12:52:53Z</dcterms:created>
  <dcterms:modified xsi:type="dcterms:W3CDTF">2009-08-31T05:47:36Z</dcterms:modified>
  <cp:category/>
  <cp:version/>
  <cp:contentType/>
  <cp:contentStatus/>
</cp:coreProperties>
</file>